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4. KONTEKS ORGANISASI\4.1 MEMAHAMI ORGANISASI DAN KONTEKS ORGANISASI\2. ANALISA SWOT\02. 2025\"/>
    </mc:Choice>
  </mc:AlternateContent>
  <xr:revisionPtr revIDLastSave="0" documentId="13_ncr:1_{BDAA3BC0-BFE6-4B51-9655-4BA6B64E02D9}" xr6:coauthVersionLast="47" xr6:coauthVersionMax="47" xr10:uidLastSave="{00000000-0000-0000-0000-000000000000}"/>
  <bookViews>
    <workbookView xWindow="-120" yWindow="-120" windowWidth="20730" windowHeight="11160" tabRatio="824" firstSheet="4" activeTab="10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t" sheetId="14" r:id="rId5"/>
    <sheet name="PVT Isu Int-Eks" sheetId="7" state="hidden" r:id="rId6"/>
    <sheet name="Strenght" sheetId="5" r:id="rId7"/>
    <sheet name="Weakness" sheetId="9" r:id="rId8"/>
    <sheet name="Opportunity" sheetId="21" r:id="rId9"/>
    <sheet name="Threat" sheetId="22" r:id="rId10"/>
    <sheet name="Positioning" sheetId="12" r:id="rId11"/>
    <sheet name="Matrix Strategi SWOT" sheetId="13" r:id="rId12"/>
    <sheet name="Sheet1" sheetId="15" state="hidden" r:id="rId13"/>
    <sheet name="Sheet2" sheetId="16" state="hidden" r:id="rId14"/>
    <sheet name="Kategori &amp; Definisi" sheetId="6" r:id="rId15"/>
    <sheet name="Cascading" sheetId="23" state="hidden" r:id="rId16"/>
    <sheet name="BSC Corporate" sheetId="19" state="hidden" r:id="rId17"/>
    <sheet name="Database Corp." sheetId="20" state="hidden" r:id="rId18"/>
  </sheets>
  <externalReferences>
    <externalReference r:id="rId19"/>
  </externalReferences>
  <definedNames>
    <definedName name="_xlnm._FilterDatabase" localSheetId="16" hidden="1">'BSC Corporate'!$B$12:$N$53</definedName>
    <definedName name="_xlnm._FilterDatabase" localSheetId="15" hidden="1">Cascading!$A$1:$J$37</definedName>
    <definedName name="_xlnm._FilterDatabase" localSheetId="3" hidden="1">'Isu Int-Eks'!$A$6:$O$151</definedName>
    <definedName name="_xlnm._FilterDatabase" localSheetId="4" hidden="1">'Isu Int-Ekst'!$A$6:$O$48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16">'BSC Corporate'!$A$1:$O$78</definedName>
    <definedName name="_xlnm.Print_Area" localSheetId="3">'Isu Int-Eks'!$A$1:$O$84</definedName>
    <definedName name="_xlnm.Print_Area" localSheetId="4">'Isu Int-Ekst'!$A$1:$N$8</definedName>
    <definedName name="_xlnm.Print_Area" localSheetId="2">'Isu th.2022 All'!$A$1:$L$112</definedName>
    <definedName name="_xlnm.Print_Area" localSheetId="11">'Matrix Strategi SWOT'!$A$3:$J$47</definedName>
  </definedNames>
  <calcPr calcId="181029"/>
  <pivotCaches>
    <pivotCache cacheId="0" r:id="rId20"/>
    <pivotCache cacheId="1" r:id="rId2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9" l="1"/>
  <c r="E46" i="9"/>
  <c r="A46" i="9"/>
  <c r="A44" i="9"/>
  <c r="B44" i="9"/>
  <c r="C44" i="9"/>
  <c r="D44" i="9"/>
  <c r="E44" i="9"/>
  <c r="A45" i="9"/>
  <c r="B45" i="9"/>
  <c r="C45" i="9"/>
  <c r="D45" i="9"/>
  <c r="F45" i="9" s="1"/>
  <c r="G45" i="9" s="1"/>
  <c r="E45" i="9"/>
  <c r="E31" i="22"/>
  <c r="D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B32" i="5"/>
  <c r="C32" i="5"/>
  <c r="D32" i="5"/>
  <c r="E32" i="5"/>
  <c r="M47" i="14"/>
  <c r="E38" i="21"/>
  <c r="D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F32" i="21" s="1"/>
  <c r="C32" i="21"/>
  <c r="B32" i="21"/>
  <c r="E31" i="21"/>
  <c r="D31" i="21"/>
  <c r="F31" i="21" s="1"/>
  <c r="C31" i="21"/>
  <c r="B31" i="21"/>
  <c r="E30" i="21"/>
  <c r="D30" i="21"/>
  <c r="F30" i="21" s="1"/>
  <c r="C30" i="21"/>
  <c r="B30" i="21"/>
  <c r="E29" i="21"/>
  <c r="D29" i="21"/>
  <c r="F29" i="21" s="1"/>
  <c r="C29" i="21"/>
  <c r="B29" i="21"/>
  <c r="E28" i="21"/>
  <c r="D28" i="21"/>
  <c r="F28" i="21" s="1"/>
  <c r="C28" i="21"/>
  <c r="B28" i="21"/>
  <c r="B28" i="9"/>
  <c r="C28" i="9"/>
  <c r="D28" i="9"/>
  <c r="F28" i="9" s="1"/>
  <c r="E28" i="9"/>
  <c r="B29" i="9"/>
  <c r="C29" i="9"/>
  <c r="D29" i="9"/>
  <c r="F29" i="9" s="1"/>
  <c r="E29" i="9"/>
  <c r="B30" i="9"/>
  <c r="C30" i="9"/>
  <c r="D30" i="9"/>
  <c r="E30" i="9"/>
  <c r="B31" i="9"/>
  <c r="C31" i="9"/>
  <c r="D31" i="9"/>
  <c r="F31" i="9" s="1"/>
  <c r="E31" i="9"/>
  <c r="B32" i="9"/>
  <c r="C32" i="9"/>
  <c r="D32" i="9"/>
  <c r="F32" i="9" s="1"/>
  <c r="E32" i="9"/>
  <c r="B33" i="9"/>
  <c r="C33" i="9"/>
  <c r="D33" i="9"/>
  <c r="F33" i="9" s="1"/>
  <c r="E33" i="9"/>
  <c r="B34" i="9"/>
  <c r="C34" i="9"/>
  <c r="D34" i="9"/>
  <c r="E34" i="9"/>
  <c r="B35" i="9"/>
  <c r="C35" i="9"/>
  <c r="D35" i="9"/>
  <c r="F35" i="9" s="1"/>
  <c r="E35" i="9"/>
  <c r="B36" i="9"/>
  <c r="C36" i="9"/>
  <c r="D36" i="9"/>
  <c r="F36" i="9" s="1"/>
  <c r="E36" i="9"/>
  <c r="B37" i="9"/>
  <c r="C37" i="9"/>
  <c r="D37" i="9"/>
  <c r="F37" i="9" s="1"/>
  <c r="E37" i="9"/>
  <c r="B38" i="9"/>
  <c r="C38" i="9"/>
  <c r="D38" i="9"/>
  <c r="E38" i="9"/>
  <c r="B39" i="9"/>
  <c r="C39" i="9"/>
  <c r="D39" i="9"/>
  <c r="F39" i="9" s="1"/>
  <c r="E39" i="9"/>
  <c r="B40" i="9"/>
  <c r="C40" i="9"/>
  <c r="D40" i="9"/>
  <c r="F40" i="9" s="1"/>
  <c r="E40" i="9"/>
  <c r="B41" i="9"/>
  <c r="C41" i="9"/>
  <c r="D41" i="9"/>
  <c r="F41" i="9" s="1"/>
  <c r="E41" i="9"/>
  <c r="B42" i="9"/>
  <c r="C42" i="9"/>
  <c r="D42" i="9"/>
  <c r="E42" i="9"/>
  <c r="B43" i="9"/>
  <c r="C43" i="9"/>
  <c r="D43" i="9"/>
  <c r="F43" i="9" s="1"/>
  <c r="E43" i="9"/>
  <c r="A20" i="5"/>
  <c r="B20" i="5"/>
  <c r="C20" i="5"/>
  <c r="A21" i="5"/>
  <c r="B21" i="5"/>
  <c r="C21" i="5"/>
  <c r="D21" i="5"/>
  <c r="F21" i="5" s="1"/>
  <c r="E21" i="5"/>
  <c r="A22" i="5"/>
  <c r="B22" i="5"/>
  <c r="C22" i="5"/>
  <c r="D22" i="5"/>
  <c r="F22" i="5" s="1"/>
  <c r="E22" i="5"/>
  <c r="A23" i="5"/>
  <c r="B23" i="5"/>
  <c r="C23" i="5"/>
  <c r="D23" i="5"/>
  <c r="F23" i="5" s="1"/>
  <c r="E23" i="5"/>
  <c r="A24" i="5"/>
  <c r="B24" i="5"/>
  <c r="C24" i="5"/>
  <c r="D24" i="5"/>
  <c r="F24" i="5" s="1"/>
  <c r="E24" i="5"/>
  <c r="A25" i="5"/>
  <c r="B25" i="5"/>
  <c r="C25" i="5"/>
  <c r="D25" i="5"/>
  <c r="F25" i="5" s="1"/>
  <c r="E25" i="5"/>
  <c r="A26" i="5"/>
  <c r="B26" i="5"/>
  <c r="C26" i="5"/>
  <c r="D26" i="5"/>
  <c r="F26" i="5" s="1"/>
  <c r="E26" i="5"/>
  <c r="A27" i="5"/>
  <c r="B27" i="5"/>
  <c r="C27" i="5"/>
  <c r="D27" i="5"/>
  <c r="F27" i="5" s="1"/>
  <c r="E27" i="5"/>
  <c r="A28" i="5"/>
  <c r="B28" i="5"/>
  <c r="C28" i="5"/>
  <c r="D28" i="5"/>
  <c r="F28" i="5" s="1"/>
  <c r="E28" i="5"/>
  <c r="A29" i="5"/>
  <c r="B29" i="5"/>
  <c r="C29" i="5"/>
  <c r="D29" i="5"/>
  <c r="F29" i="5" s="1"/>
  <c r="E29" i="5"/>
  <c r="A30" i="5"/>
  <c r="B30" i="5"/>
  <c r="C30" i="5"/>
  <c r="D30" i="5"/>
  <c r="F30" i="5" s="1"/>
  <c r="E30" i="5"/>
  <c r="A31" i="5"/>
  <c r="B31" i="5"/>
  <c r="C31" i="5"/>
  <c r="D31" i="5"/>
  <c r="F31" i="5" s="1"/>
  <c r="E31" i="5"/>
  <c r="F32" i="5" l="1"/>
  <c r="F30" i="22"/>
  <c r="F29" i="22"/>
  <c r="G25" i="5"/>
  <c r="F28" i="22"/>
  <c r="G28" i="22" s="1"/>
  <c r="F44" i="9"/>
  <c r="G44" i="9" s="1"/>
  <c r="G29" i="5"/>
  <c r="G28" i="5"/>
  <c r="G24" i="5"/>
  <c r="G29" i="21"/>
  <c r="G30" i="21"/>
  <c r="G31" i="21"/>
  <c r="G32" i="21"/>
  <c r="F33" i="21"/>
  <c r="G33" i="21" s="1"/>
  <c r="F34" i="21"/>
  <c r="G34" i="21" s="1"/>
  <c r="F35" i="21"/>
  <c r="G35" i="21" s="1"/>
  <c r="F36" i="21"/>
  <c r="G36" i="21" s="1"/>
  <c r="F37" i="21"/>
  <c r="G37" i="21" s="1"/>
  <c r="F30" i="9"/>
  <c r="F46" i="9" s="1"/>
  <c r="G30" i="5"/>
  <c r="G22" i="5"/>
  <c r="F42" i="9"/>
  <c r="G42" i="9" s="1"/>
  <c r="F38" i="9"/>
  <c r="G38" i="9" s="1"/>
  <c r="F34" i="9"/>
  <c r="G28" i="21"/>
  <c r="F31" i="22"/>
  <c r="G30" i="22"/>
  <c r="G29" i="22"/>
  <c r="G43" i="9"/>
  <c r="G41" i="9"/>
  <c r="G40" i="9"/>
  <c r="G39" i="9"/>
  <c r="G37" i="9"/>
  <c r="G36" i="9"/>
  <c r="G35" i="9"/>
  <c r="G34" i="9"/>
  <c r="G33" i="9"/>
  <c r="G32" i="9"/>
  <c r="G31" i="9"/>
  <c r="G29" i="9"/>
  <c r="G21" i="5"/>
  <c r="G31" i="5"/>
  <c r="G27" i="5"/>
  <c r="G23" i="5"/>
  <c r="G26" i="5"/>
  <c r="G30" i="9" l="1"/>
  <c r="G32" i="5"/>
  <c r="C4" i="12" s="1"/>
  <c r="G38" i="21"/>
  <c r="C6" i="12" s="1"/>
  <c r="F38" i="21"/>
  <c r="G31" i="22"/>
  <c r="D6" i="12" s="1"/>
  <c r="G28" i="9"/>
  <c r="G46" i="9" l="1"/>
  <c r="D4" i="12" s="1"/>
  <c r="M11" i="14"/>
  <c r="H11" i="14"/>
  <c r="M42" i="14"/>
  <c r="H42" i="14"/>
  <c r="M45" i="14"/>
  <c r="M46" i="14"/>
  <c r="H46" i="14"/>
  <c r="H45" i="14"/>
  <c r="M35" i="14"/>
  <c r="H35" i="14"/>
  <c r="M15" i="14"/>
  <c r="H15" i="14"/>
  <c r="M37" i="14"/>
  <c r="H37" i="14"/>
  <c r="H36" i="14"/>
  <c r="M36" i="14"/>
  <c r="L6" i="19"/>
  <c r="N106" i="20" l="1"/>
  <c r="N107" i="20"/>
  <c r="C108" i="20"/>
  <c r="D108" i="20"/>
  <c r="E108" i="20"/>
  <c r="F108" i="20"/>
  <c r="G108" i="20"/>
  <c r="H108" i="20"/>
  <c r="I108" i="20"/>
  <c r="J108" i="20"/>
  <c r="K108" i="20"/>
  <c r="L108" i="20"/>
  <c r="M108" i="20"/>
  <c r="N108" i="20"/>
  <c r="B108" i="20"/>
  <c r="M201" i="20" l="1"/>
  <c r="L201" i="20"/>
  <c r="K201" i="20"/>
  <c r="J201" i="20"/>
  <c r="I201" i="20"/>
  <c r="H201" i="20"/>
  <c r="G201" i="20"/>
  <c r="F201" i="20"/>
  <c r="E201" i="20"/>
  <c r="D201" i="20"/>
  <c r="C201" i="20"/>
  <c r="B201" i="20"/>
  <c r="N201" i="20"/>
  <c r="M195" i="20"/>
  <c r="L195" i="20"/>
  <c r="K195" i="20"/>
  <c r="J195" i="20"/>
  <c r="I195" i="20"/>
  <c r="H195" i="20"/>
  <c r="G195" i="20"/>
  <c r="F195" i="20"/>
  <c r="E195" i="20"/>
  <c r="D195" i="20"/>
  <c r="C195" i="20"/>
  <c r="M193" i="20"/>
  <c r="M194" i="20" s="1"/>
  <c r="L193" i="20"/>
  <c r="L194" i="20" s="1"/>
  <c r="K193" i="20"/>
  <c r="K194" i="20" s="1"/>
  <c r="J193" i="20"/>
  <c r="J194" i="20" s="1"/>
  <c r="I193" i="20"/>
  <c r="I194" i="20" s="1"/>
  <c r="H193" i="20"/>
  <c r="H194" i="20" s="1"/>
  <c r="G193" i="20"/>
  <c r="G194" i="20" s="1"/>
  <c r="F193" i="20"/>
  <c r="F194" i="20" s="1"/>
  <c r="E193" i="20"/>
  <c r="E194" i="20" s="1"/>
  <c r="D193" i="20"/>
  <c r="D194" i="20" s="1"/>
  <c r="C193" i="20"/>
  <c r="C194" i="20" s="1"/>
  <c r="B193" i="20"/>
  <c r="B194" i="20" s="1"/>
  <c r="B195" i="20" s="1"/>
  <c r="N192" i="20"/>
  <c r="N191" i="20"/>
  <c r="N190" i="20"/>
  <c r="M185" i="20"/>
  <c r="L185" i="20"/>
  <c r="K185" i="20"/>
  <c r="J185" i="20"/>
  <c r="I185" i="20"/>
  <c r="H185" i="20"/>
  <c r="G185" i="20"/>
  <c r="F185" i="20"/>
  <c r="E185" i="20"/>
  <c r="D185" i="20"/>
  <c r="C185" i="20"/>
  <c r="M182" i="20"/>
  <c r="M183" i="20" s="1"/>
  <c r="L182" i="20"/>
  <c r="L183" i="20" s="1"/>
  <c r="K182" i="20"/>
  <c r="K183" i="20" s="1"/>
  <c r="J182" i="20"/>
  <c r="J183" i="20" s="1"/>
  <c r="I182" i="20"/>
  <c r="I183" i="20" s="1"/>
  <c r="H182" i="20"/>
  <c r="H183" i="20" s="1"/>
  <c r="G182" i="20"/>
  <c r="G183" i="20" s="1"/>
  <c r="F182" i="20"/>
  <c r="F183" i="20" s="1"/>
  <c r="E182" i="20"/>
  <c r="E183" i="20" s="1"/>
  <c r="D182" i="20"/>
  <c r="D183" i="20" s="1"/>
  <c r="C182" i="20"/>
  <c r="C183" i="20" s="1"/>
  <c r="B182" i="20"/>
  <c r="B183" i="20" s="1"/>
  <c r="N181" i="20"/>
  <c r="N182" i="20" s="1"/>
  <c r="N183" i="20" s="1"/>
  <c r="N179" i="20"/>
  <c r="N178" i="20" s="1"/>
  <c r="M178" i="20"/>
  <c r="L178" i="20"/>
  <c r="L175" i="20" s="1"/>
  <c r="K178" i="20"/>
  <c r="K175" i="20" s="1"/>
  <c r="J178" i="20"/>
  <c r="J180" i="20" s="1"/>
  <c r="I178" i="20"/>
  <c r="I175" i="20" s="1"/>
  <c r="H178" i="20"/>
  <c r="H175" i="20" s="1"/>
  <c r="G178" i="20"/>
  <c r="G175" i="20" s="1"/>
  <c r="F178" i="20"/>
  <c r="F180" i="20" s="1"/>
  <c r="E178" i="20"/>
  <c r="D178" i="20"/>
  <c r="D175" i="20" s="1"/>
  <c r="C178" i="20"/>
  <c r="B178" i="20"/>
  <c r="B180" i="20" s="1"/>
  <c r="M175" i="20"/>
  <c r="J175" i="20"/>
  <c r="F175" i="20"/>
  <c r="C175" i="20"/>
  <c r="B175" i="20"/>
  <c r="N171" i="20"/>
  <c r="M171" i="20"/>
  <c r="L171" i="20"/>
  <c r="K171" i="20"/>
  <c r="J171" i="20"/>
  <c r="I171" i="20"/>
  <c r="H171" i="20"/>
  <c r="G171" i="20"/>
  <c r="F171" i="20"/>
  <c r="E171" i="20"/>
  <c r="D171" i="20"/>
  <c r="C171" i="20"/>
  <c r="B171" i="20"/>
  <c r="N169" i="20"/>
  <c r="N164" i="20"/>
  <c r="N159" i="20"/>
  <c r="M159" i="20"/>
  <c r="L159" i="20"/>
  <c r="K159" i="20"/>
  <c r="J159" i="20"/>
  <c r="I159" i="20"/>
  <c r="H159" i="20"/>
  <c r="G159" i="20"/>
  <c r="F159" i="20"/>
  <c r="E159" i="20"/>
  <c r="D159" i="20"/>
  <c r="C159" i="20"/>
  <c r="B159" i="20"/>
  <c r="M152" i="20"/>
  <c r="L152" i="20"/>
  <c r="K152" i="20"/>
  <c r="J152" i="20"/>
  <c r="I152" i="20"/>
  <c r="H152" i="20"/>
  <c r="G152" i="20"/>
  <c r="F152" i="20"/>
  <c r="E152" i="20"/>
  <c r="D152" i="20"/>
  <c r="C152" i="20"/>
  <c r="B152" i="20"/>
  <c r="M151" i="20"/>
  <c r="L151" i="20"/>
  <c r="K151" i="20"/>
  <c r="J151" i="20"/>
  <c r="I151" i="20"/>
  <c r="H151" i="20"/>
  <c r="G151" i="20"/>
  <c r="F151" i="20"/>
  <c r="E151" i="20"/>
  <c r="D151" i="20"/>
  <c r="C151" i="20"/>
  <c r="N150" i="20" s="1"/>
  <c r="N152" i="20" s="1"/>
  <c r="B151" i="20"/>
  <c r="M144" i="20"/>
  <c r="L144" i="20"/>
  <c r="K144" i="20"/>
  <c r="J144" i="20"/>
  <c r="I144" i="20"/>
  <c r="H144" i="20"/>
  <c r="G144" i="20"/>
  <c r="F144" i="20"/>
  <c r="E144" i="20"/>
  <c r="D144" i="20"/>
  <c r="C144" i="20"/>
  <c r="B144" i="20"/>
  <c r="N143" i="20"/>
  <c r="N142" i="20"/>
  <c r="M138" i="20"/>
  <c r="L138" i="20"/>
  <c r="K138" i="20"/>
  <c r="J138" i="20"/>
  <c r="I138" i="20"/>
  <c r="H138" i="20"/>
  <c r="G138" i="20"/>
  <c r="F138" i="20"/>
  <c r="E138" i="20"/>
  <c r="D138" i="20"/>
  <c r="C138" i="20"/>
  <c r="M137" i="20"/>
  <c r="L137" i="20"/>
  <c r="K137" i="20"/>
  <c r="J137" i="20"/>
  <c r="I137" i="20"/>
  <c r="H137" i="20"/>
  <c r="G137" i="20"/>
  <c r="F137" i="20"/>
  <c r="E137" i="20"/>
  <c r="D137" i="20"/>
  <c r="C137" i="20"/>
  <c r="B137" i="20"/>
  <c r="B138" i="20" s="1"/>
  <c r="N136" i="20"/>
  <c r="N137" i="20" s="1"/>
  <c r="M130" i="20"/>
  <c r="L130" i="20"/>
  <c r="K130" i="20"/>
  <c r="J130" i="20"/>
  <c r="I130" i="20"/>
  <c r="H130" i="20"/>
  <c r="G130" i="20"/>
  <c r="F130" i="20"/>
  <c r="E130" i="20"/>
  <c r="D130" i="20"/>
  <c r="C130" i="20"/>
  <c r="B130" i="20"/>
  <c r="N129" i="20"/>
  <c r="N128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B124" i="20" s="1"/>
  <c r="M122" i="20"/>
  <c r="N122" i="20" s="1"/>
  <c r="L122" i="20"/>
  <c r="L124" i="20" s="1"/>
  <c r="K122" i="20"/>
  <c r="K124" i="20" s="1"/>
  <c r="J122" i="20"/>
  <c r="J124" i="20" s="1"/>
  <c r="I122" i="20"/>
  <c r="I124" i="20" s="1"/>
  <c r="H122" i="20"/>
  <c r="H124" i="20" s="1"/>
  <c r="G122" i="20"/>
  <c r="G124" i="20" s="1"/>
  <c r="F122" i="20"/>
  <c r="F124" i="20" s="1"/>
  <c r="E122" i="20"/>
  <c r="E124" i="20" s="1"/>
  <c r="D122" i="20"/>
  <c r="D124" i="20" s="1"/>
  <c r="C122" i="20"/>
  <c r="C124" i="20" s="1"/>
  <c r="B122" i="20"/>
  <c r="N121" i="20"/>
  <c r="N123" i="20" s="1"/>
  <c r="M115" i="20"/>
  <c r="L115" i="20"/>
  <c r="K115" i="20"/>
  <c r="J115" i="20"/>
  <c r="I115" i="20"/>
  <c r="H115" i="20"/>
  <c r="G115" i="20"/>
  <c r="F115" i="20"/>
  <c r="E115" i="20"/>
  <c r="D115" i="20"/>
  <c r="C115" i="20"/>
  <c r="B115" i="20"/>
  <c r="M114" i="20"/>
  <c r="N114" i="20" s="1"/>
  <c r="L114" i="20"/>
  <c r="L116" i="20" s="1"/>
  <c r="K114" i="20"/>
  <c r="K116" i="20" s="1"/>
  <c r="J114" i="20"/>
  <c r="J116" i="20" s="1"/>
  <c r="I114" i="20"/>
  <c r="I116" i="20" s="1"/>
  <c r="H114" i="20"/>
  <c r="H116" i="20" s="1"/>
  <c r="G114" i="20"/>
  <c r="G116" i="20" s="1"/>
  <c r="F114" i="20"/>
  <c r="F116" i="20" s="1"/>
  <c r="E114" i="20"/>
  <c r="E116" i="20" s="1"/>
  <c r="D114" i="20"/>
  <c r="D116" i="20" s="1"/>
  <c r="C114" i="20"/>
  <c r="C116" i="20" s="1"/>
  <c r="B114" i="20"/>
  <c r="B116" i="20" s="1"/>
  <c r="N113" i="20"/>
  <c r="N115" i="20" s="1"/>
  <c r="N105" i="20"/>
  <c r="M100" i="20"/>
  <c r="L100" i="20"/>
  <c r="K100" i="20"/>
  <c r="J100" i="20"/>
  <c r="I100" i="20"/>
  <c r="H100" i="20"/>
  <c r="G100" i="20"/>
  <c r="F100" i="20"/>
  <c r="E100" i="20"/>
  <c r="D100" i="20"/>
  <c r="C100" i="20"/>
  <c r="B100" i="20"/>
  <c r="B101" i="20" s="1"/>
  <c r="N99" i="20"/>
  <c r="N98" i="20"/>
  <c r="N97" i="20"/>
  <c r="N96" i="20"/>
  <c r="AB91" i="20"/>
  <c r="AA91" i="20"/>
  <c r="Z91" i="20"/>
  <c r="Y91" i="20"/>
  <c r="X91" i="20"/>
  <c r="W91" i="20"/>
  <c r="V91" i="20"/>
  <c r="U91" i="20"/>
  <c r="T91" i="20"/>
  <c r="S91" i="20"/>
  <c r="R91" i="20"/>
  <c r="Q91" i="20"/>
  <c r="H91" i="20"/>
  <c r="E91" i="20"/>
  <c r="AB90" i="20"/>
  <c r="AA90" i="20"/>
  <c r="Z90" i="20"/>
  <c r="Y90" i="20"/>
  <c r="X90" i="20"/>
  <c r="W90" i="20"/>
  <c r="V90" i="20"/>
  <c r="U90" i="20"/>
  <c r="T90" i="20"/>
  <c r="S90" i="20"/>
  <c r="R90" i="20"/>
  <c r="Q90" i="20"/>
  <c r="AB89" i="20"/>
  <c r="AA89" i="20"/>
  <c r="Z89" i="20"/>
  <c r="Y89" i="20"/>
  <c r="X89" i="20"/>
  <c r="W89" i="20"/>
  <c r="V89" i="20"/>
  <c r="U89" i="20"/>
  <c r="T89" i="20"/>
  <c r="S89" i="20"/>
  <c r="R89" i="20"/>
  <c r="Q89" i="20"/>
  <c r="AB88" i="20"/>
  <c r="AA88" i="20"/>
  <c r="Z88" i="20"/>
  <c r="Y88" i="20"/>
  <c r="X88" i="20"/>
  <c r="W88" i="20"/>
  <c r="W92" i="20" s="1"/>
  <c r="V88" i="20"/>
  <c r="U88" i="20"/>
  <c r="U92" i="20" s="1"/>
  <c r="F91" i="20" s="1"/>
  <c r="T88" i="20"/>
  <c r="S88" i="20"/>
  <c r="R88" i="20"/>
  <c r="Q88" i="20"/>
  <c r="N88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AC82" i="20" s="1"/>
  <c r="M82" i="20"/>
  <c r="E82" i="20"/>
  <c r="D82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AB79" i="20"/>
  <c r="AB83" i="20" s="1"/>
  <c r="AA79" i="20"/>
  <c r="Z79" i="20"/>
  <c r="Y79" i="20"/>
  <c r="X79" i="20"/>
  <c r="X83" i="20" s="1"/>
  <c r="I82" i="20" s="1"/>
  <c r="W79" i="20"/>
  <c r="V79" i="20"/>
  <c r="U79" i="20"/>
  <c r="T79" i="20"/>
  <c r="T83" i="20" s="1"/>
  <c r="S79" i="20"/>
  <c r="R79" i="20"/>
  <c r="Q79" i="20"/>
  <c r="N79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AC74" i="20" s="1"/>
  <c r="M74" i="20"/>
  <c r="L74" i="20"/>
  <c r="K74" i="20"/>
  <c r="J74" i="20"/>
  <c r="I74" i="20"/>
  <c r="H74" i="20"/>
  <c r="G74" i="20"/>
  <c r="F74" i="20"/>
  <c r="E74" i="20"/>
  <c r="D74" i="20"/>
  <c r="C74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M73" i="20"/>
  <c r="L73" i="20"/>
  <c r="K73" i="20"/>
  <c r="J73" i="20"/>
  <c r="I73" i="20"/>
  <c r="H73" i="20"/>
  <c r="G73" i="20"/>
  <c r="F73" i="20"/>
  <c r="E73" i="20"/>
  <c r="D73" i="20"/>
  <c r="C73" i="20"/>
  <c r="B73" i="20"/>
  <c r="B74" i="20" s="1"/>
  <c r="AB72" i="20"/>
  <c r="AA72" i="20"/>
  <c r="Z72" i="20"/>
  <c r="Y72" i="20"/>
  <c r="X72" i="20"/>
  <c r="W72" i="20"/>
  <c r="V72" i="20"/>
  <c r="U72" i="20"/>
  <c r="T72" i="20"/>
  <c r="S72" i="20"/>
  <c r="R72" i="20"/>
  <c r="Q72" i="20"/>
  <c r="N72" i="20"/>
  <c r="N73" i="20" s="1"/>
  <c r="AB71" i="20"/>
  <c r="AA71" i="20"/>
  <c r="Z71" i="20"/>
  <c r="Y71" i="20"/>
  <c r="X71" i="20"/>
  <c r="W71" i="20"/>
  <c r="V71" i="20"/>
  <c r="U71" i="20"/>
  <c r="U75" i="20" s="1"/>
  <c r="T71" i="20"/>
  <c r="S71" i="20"/>
  <c r="R71" i="20"/>
  <c r="Q71" i="20"/>
  <c r="AC71" i="20" s="1"/>
  <c r="N71" i="20"/>
  <c r="M65" i="20"/>
  <c r="L65" i="20"/>
  <c r="K65" i="20"/>
  <c r="J65" i="20"/>
  <c r="I65" i="20"/>
  <c r="H65" i="20"/>
  <c r="B65" i="20"/>
  <c r="M64" i="20"/>
  <c r="L64" i="20"/>
  <c r="K64" i="20"/>
  <c r="J64" i="20"/>
  <c r="I64" i="20"/>
  <c r="H64" i="20"/>
  <c r="G64" i="20"/>
  <c r="F64" i="20"/>
  <c r="E64" i="20"/>
  <c r="D64" i="20"/>
  <c r="C64" i="20"/>
  <c r="B64" i="20"/>
  <c r="N63" i="20"/>
  <c r="M62" i="20"/>
  <c r="L62" i="20"/>
  <c r="K62" i="20"/>
  <c r="J62" i="20"/>
  <c r="I62" i="20"/>
  <c r="H62" i="20"/>
  <c r="G62" i="20"/>
  <c r="G65" i="20" s="1"/>
  <c r="F62" i="20"/>
  <c r="F65" i="20" s="1"/>
  <c r="E62" i="20"/>
  <c r="E65" i="20" s="1"/>
  <c r="D62" i="20"/>
  <c r="D65" i="20" s="1"/>
  <c r="C62" i="20"/>
  <c r="C65" i="20" s="1"/>
  <c r="B62" i="20"/>
  <c r="M56" i="20"/>
  <c r="K56" i="20"/>
  <c r="I56" i="20"/>
  <c r="G56" i="20"/>
  <c r="E56" i="20"/>
  <c r="C56" i="20"/>
  <c r="K55" i="20"/>
  <c r="C55" i="20"/>
  <c r="L56" i="20"/>
  <c r="J56" i="20"/>
  <c r="H56" i="20"/>
  <c r="F56" i="20"/>
  <c r="D56" i="20"/>
  <c r="G55" i="20"/>
  <c r="N53" i="20"/>
  <c r="M48" i="20"/>
  <c r="L48" i="20"/>
  <c r="K48" i="20"/>
  <c r="J48" i="20"/>
  <c r="I48" i="20"/>
  <c r="H48" i="20"/>
  <c r="G48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C48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N45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N39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N38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AC30" i="20"/>
  <c r="AB30" i="20"/>
  <c r="AA30" i="20"/>
  <c r="Z30" i="20"/>
  <c r="Z32" i="20" s="1"/>
  <c r="Y30" i="20"/>
  <c r="X30" i="20"/>
  <c r="W30" i="20"/>
  <c r="V30" i="20"/>
  <c r="V32" i="20" s="1"/>
  <c r="U30" i="20"/>
  <c r="T30" i="20"/>
  <c r="S30" i="20"/>
  <c r="R30" i="20"/>
  <c r="R32" i="20" s="1"/>
  <c r="Q30" i="20"/>
  <c r="N30" i="20"/>
  <c r="N32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M24" i="20"/>
  <c r="L24" i="20"/>
  <c r="K24" i="20"/>
  <c r="J24" i="20"/>
  <c r="I24" i="20"/>
  <c r="H24" i="20"/>
  <c r="G24" i="20"/>
  <c r="F24" i="20"/>
  <c r="E24" i="20"/>
  <c r="D24" i="20"/>
  <c r="C24" i="20"/>
  <c r="B24" i="20"/>
  <c r="M23" i="20"/>
  <c r="L23" i="20"/>
  <c r="K23" i="20"/>
  <c r="J23" i="20"/>
  <c r="I23" i="20"/>
  <c r="H23" i="20"/>
  <c r="G23" i="20"/>
  <c r="F23" i="20"/>
  <c r="E23" i="20"/>
  <c r="D23" i="20"/>
  <c r="C23" i="20"/>
  <c r="B23" i="20"/>
  <c r="N22" i="20"/>
  <c r="N21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L16" i="20" s="1"/>
  <c r="M7" i="20"/>
  <c r="L7" i="20"/>
  <c r="K7" i="20"/>
  <c r="J7" i="20"/>
  <c r="I7" i="20"/>
  <c r="H7" i="20"/>
  <c r="G7" i="20"/>
  <c r="F7" i="20"/>
  <c r="E7" i="20"/>
  <c r="D7" i="20"/>
  <c r="C7" i="20"/>
  <c r="B7" i="20"/>
  <c r="M6" i="20"/>
  <c r="L6" i="20"/>
  <c r="K6" i="20"/>
  <c r="J6" i="20"/>
  <c r="I6" i="20"/>
  <c r="H6" i="20"/>
  <c r="G6" i="20"/>
  <c r="F6" i="20"/>
  <c r="E6" i="20"/>
  <c r="D6" i="20"/>
  <c r="C6" i="20"/>
  <c r="B6" i="20"/>
  <c r="M5" i="20"/>
  <c r="N5" i="20" s="1"/>
  <c r="L5" i="20"/>
  <c r="K5" i="20"/>
  <c r="J5" i="20"/>
  <c r="I5" i="20"/>
  <c r="H5" i="20"/>
  <c r="G5" i="20"/>
  <c r="F5" i="20"/>
  <c r="E5" i="20"/>
  <c r="D5" i="20"/>
  <c r="C5" i="20"/>
  <c r="B5" i="20"/>
  <c r="N4" i="20"/>
  <c r="N3" i="20"/>
  <c r="Q3" i="20" s="1"/>
  <c r="N73" i="19"/>
  <c r="C65" i="19"/>
  <c r="H62" i="19"/>
  <c r="H61" i="19"/>
  <c r="M60" i="19"/>
  <c r="N60" i="19" s="1"/>
  <c r="M59" i="19"/>
  <c r="N59" i="19" s="1"/>
  <c r="M58" i="19"/>
  <c r="N58" i="19" s="1"/>
  <c r="L58" i="19"/>
  <c r="H51" i="19"/>
  <c r="K50" i="19"/>
  <c r="J50" i="19"/>
  <c r="K49" i="19"/>
  <c r="M49" i="19" s="1"/>
  <c r="N49" i="19" s="1"/>
  <c r="K48" i="19"/>
  <c r="J48" i="19"/>
  <c r="K46" i="19"/>
  <c r="M46" i="19" s="1"/>
  <c r="N46" i="19" s="1"/>
  <c r="K45" i="19"/>
  <c r="M45" i="19" s="1"/>
  <c r="N45" i="19" s="1"/>
  <c r="J44" i="19"/>
  <c r="K43" i="19"/>
  <c r="J43" i="19"/>
  <c r="H41" i="19"/>
  <c r="K40" i="19"/>
  <c r="M40" i="19" s="1"/>
  <c r="N40" i="19" s="1"/>
  <c r="K39" i="19"/>
  <c r="M39" i="19" s="1"/>
  <c r="N39" i="19" s="1"/>
  <c r="M38" i="19"/>
  <c r="N38" i="19" s="1"/>
  <c r="L38" i="19"/>
  <c r="M37" i="19"/>
  <c r="N37" i="19" s="1"/>
  <c r="L37" i="19"/>
  <c r="M36" i="19"/>
  <c r="N36" i="19" s="1"/>
  <c r="L36" i="19"/>
  <c r="M35" i="19"/>
  <c r="N35" i="19" s="1"/>
  <c r="L35" i="19"/>
  <c r="M34" i="19"/>
  <c r="N34" i="19" s="1"/>
  <c r="L34" i="19"/>
  <c r="K33" i="19"/>
  <c r="L33" i="19" s="1"/>
  <c r="K31" i="19"/>
  <c r="J31" i="19"/>
  <c r="K30" i="19"/>
  <c r="K29" i="19"/>
  <c r="J29" i="19"/>
  <c r="H28" i="19"/>
  <c r="K27" i="19"/>
  <c r="M27" i="19" s="1"/>
  <c r="N27" i="19" s="1"/>
  <c r="M26" i="19"/>
  <c r="N26" i="19" s="1"/>
  <c r="L26" i="19"/>
  <c r="K25" i="19"/>
  <c r="L25" i="19" s="1"/>
  <c r="M24" i="19"/>
  <c r="N24" i="19" s="1"/>
  <c r="L24" i="19"/>
  <c r="L23" i="19"/>
  <c r="J23" i="19"/>
  <c r="M23" i="19" s="1"/>
  <c r="N23" i="19" s="1"/>
  <c r="M22" i="19"/>
  <c r="N22" i="19" s="1"/>
  <c r="L22" i="19"/>
  <c r="M21" i="19"/>
  <c r="N21" i="19" s="1"/>
  <c r="L21" i="19"/>
  <c r="H20" i="19"/>
  <c r="J19" i="19"/>
  <c r="K18" i="19"/>
  <c r="M18" i="19" s="1"/>
  <c r="N18" i="19" s="1"/>
  <c r="J18" i="19"/>
  <c r="K17" i="19"/>
  <c r="J17" i="19"/>
  <c r="K16" i="19"/>
  <c r="M16" i="19" s="1"/>
  <c r="N16" i="19" s="1"/>
  <c r="J16" i="19"/>
  <c r="K15" i="19"/>
  <c r="J15" i="19"/>
  <c r="K14" i="19"/>
  <c r="J14" i="19"/>
  <c r="W75" i="20" l="1"/>
  <c r="H52" i="19"/>
  <c r="Z47" i="20"/>
  <c r="U42" i="20"/>
  <c r="Y42" i="20"/>
  <c r="S32" i="20"/>
  <c r="W32" i="20"/>
  <c r="AA32" i="20"/>
  <c r="S42" i="20"/>
  <c r="W42" i="20"/>
  <c r="AA42" i="20"/>
  <c r="AC90" i="20"/>
  <c r="R47" i="20"/>
  <c r="V47" i="20"/>
  <c r="X47" i="20"/>
  <c r="R92" i="20"/>
  <c r="C91" i="20" s="1"/>
  <c r="V92" i="20"/>
  <c r="G91" i="20" s="1"/>
  <c r="Z92" i="20"/>
  <c r="K91" i="20" s="1"/>
  <c r="N193" i="20"/>
  <c r="N194" i="20" s="1"/>
  <c r="T32" i="20"/>
  <c r="X32" i="20"/>
  <c r="AB32" i="20"/>
  <c r="Q42" i="20"/>
  <c r="AC42" i="20"/>
  <c r="B184" i="20"/>
  <c r="B185" i="20" s="1"/>
  <c r="F184" i="20"/>
  <c r="K47" i="19" s="1"/>
  <c r="M47" i="19" s="1"/>
  <c r="N47" i="19" s="1"/>
  <c r="J184" i="20"/>
  <c r="N180" i="20"/>
  <c r="N184" i="20" s="1"/>
  <c r="N175" i="20"/>
  <c r="Q92" i="20"/>
  <c r="L50" i="19"/>
  <c r="T42" i="20"/>
  <c r="X42" i="20"/>
  <c r="AB42" i="20"/>
  <c r="AC72" i="20"/>
  <c r="Q75" i="20"/>
  <c r="Y75" i="20"/>
  <c r="Q83" i="20"/>
  <c r="U83" i="20"/>
  <c r="Y83" i="20"/>
  <c r="J82" i="20" s="1"/>
  <c r="AC81" i="20"/>
  <c r="E184" i="20"/>
  <c r="I184" i="20"/>
  <c r="M184" i="20"/>
  <c r="M14" i="19"/>
  <c r="N14" i="19" s="1"/>
  <c r="L18" i="19"/>
  <c r="L31" i="19"/>
  <c r="M48" i="19"/>
  <c r="N48" i="19" s="1"/>
  <c r="S47" i="20"/>
  <c r="D48" i="20" s="1"/>
  <c r="W47" i="20"/>
  <c r="AA47" i="20"/>
  <c r="R83" i="20"/>
  <c r="C82" i="20" s="1"/>
  <c r="V83" i="20"/>
  <c r="G82" i="20" s="1"/>
  <c r="Z83" i="20"/>
  <c r="K82" i="20" s="1"/>
  <c r="S92" i="20"/>
  <c r="D91" i="20" s="1"/>
  <c r="AA92" i="20"/>
  <c r="L91" i="20" s="1"/>
  <c r="AC91" i="20"/>
  <c r="N144" i="20"/>
  <c r="E175" i="20"/>
  <c r="Y92" i="20"/>
  <c r="J91" i="20" s="1"/>
  <c r="Q32" i="20"/>
  <c r="U32" i="20"/>
  <c r="Y32" i="20"/>
  <c r="AC32" i="20"/>
  <c r="R42" i="20"/>
  <c r="V42" i="20"/>
  <c r="Z42" i="20"/>
  <c r="T47" i="20"/>
  <c r="E48" i="20" s="1"/>
  <c r="AB47" i="20"/>
  <c r="N62" i="20"/>
  <c r="T75" i="20"/>
  <c r="X75" i="20"/>
  <c r="AB75" i="20"/>
  <c r="S75" i="20"/>
  <c r="AA75" i="20"/>
  <c r="C184" i="20"/>
  <c r="G184" i="20"/>
  <c r="K184" i="20"/>
  <c r="F101" i="20"/>
  <c r="K42" i="19" s="1"/>
  <c r="N24" i="20"/>
  <c r="M15" i="19"/>
  <c r="N15" i="19" s="1"/>
  <c r="M16" i="20"/>
  <c r="J16" i="20"/>
  <c r="B16" i="20"/>
  <c r="L15" i="19"/>
  <c r="E16" i="20"/>
  <c r="F16" i="20"/>
  <c r="N15" i="20"/>
  <c r="I16" i="20"/>
  <c r="N6" i="20"/>
  <c r="M50" i="19"/>
  <c r="N50" i="19" s="1"/>
  <c r="K32" i="19"/>
  <c r="M33" i="19"/>
  <c r="N33" i="19" s="1"/>
  <c r="M31" i="19"/>
  <c r="N31" i="19" s="1"/>
  <c r="N130" i="20"/>
  <c r="M124" i="20"/>
  <c r="M116" i="20"/>
  <c r="M25" i="19"/>
  <c r="N25" i="19" s="1"/>
  <c r="N28" i="19" s="1"/>
  <c r="L16" i="19"/>
  <c r="F82" i="20"/>
  <c r="K44" i="19"/>
  <c r="L14" i="19"/>
  <c r="M43" i="19"/>
  <c r="N43" i="19" s="1"/>
  <c r="L43" i="19"/>
  <c r="M17" i="19"/>
  <c r="N17" i="19" s="1"/>
  <c r="L17" i="19"/>
  <c r="L29" i="19"/>
  <c r="M29" i="19"/>
  <c r="N29" i="19" s="1"/>
  <c r="F90" i="20"/>
  <c r="B90" i="20"/>
  <c r="H90" i="20"/>
  <c r="D90" i="20"/>
  <c r="E90" i="20"/>
  <c r="C90" i="20"/>
  <c r="B91" i="20"/>
  <c r="G90" i="20"/>
  <c r="L66" i="20"/>
  <c r="H66" i="20"/>
  <c r="D66" i="20"/>
  <c r="J66" i="20"/>
  <c r="F66" i="20"/>
  <c r="B66" i="20"/>
  <c r="G66" i="20"/>
  <c r="AC73" i="20"/>
  <c r="E81" i="20"/>
  <c r="B82" i="20"/>
  <c r="G81" i="20"/>
  <c r="C81" i="20"/>
  <c r="AC79" i="20"/>
  <c r="D81" i="20"/>
  <c r="H101" i="20"/>
  <c r="L27" i="19"/>
  <c r="L39" i="19"/>
  <c r="L40" i="19"/>
  <c r="L45" i="19"/>
  <c r="L46" i="19"/>
  <c r="Q4" i="20"/>
  <c r="Q8" i="20" s="1"/>
  <c r="E55" i="20"/>
  <c r="M55" i="20"/>
  <c r="I66" i="20"/>
  <c r="F81" i="20"/>
  <c r="AC89" i="20"/>
  <c r="N100" i="20"/>
  <c r="M101" i="20"/>
  <c r="N101" i="20" s="1"/>
  <c r="J101" i="20"/>
  <c r="L48" i="19"/>
  <c r="L49" i="19"/>
  <c r="C16" i="20"/>
  <c r="G16" i="20"/>
  <c r="K16" i="20"/>
  <c r="Q47" i="20"/>
  <c r="U47" i="20"/>
  <c r="Y47" i="20"/>
  <c r="AC47" i="20"/>
  <c r="C66" i="20"/>
  <c r="K66" i="20"/>
  <c r="R75" i="20"/>
  <c r="V75" i="20"/>
  <c r="Z75" i="20"/>
  <c r="S83" i="20"/>
  <c r="W83" i="20"/>
  <c r="H82" i="20" s="1"/>
  <c r="AA83" i="20"/>
  <c r="L82" i="20" s="1"/>
  <c r="T92" i="20"/>
  <c r="X92" i="20"/>
  <c r="I91" i="20" s="1"/>
  <c r="AB92" i="20"/>
  <c r="M91" i="20" s="1"/>
  <c r="K101" i="20"/>
  <c r="G101" i="20"/>
  <c r="C101" i="20"/>
  <c r="D101" i="20"/>
  <c r="L101" i="20"/>
  <c r="D16" i="20"/>
  <c r="H16" i="20"/>
  <c r="L55" i="20"/>
  <c r="H55" i="20"/>
  <c r="D55" i="20"/>
  <c r="B56" i="20"/>
  <c r="J55" i="20"/>
  <c r="F55" i="20"/>
  <c r="B55" i="20"/>
  <c r="N54" i="20"/>
  <c r="N56" i="20" s="1"/>
  <c r="I55" i="20"/>
  <c r="E66" i="20"/>
  <c r="M66" i="20"/>
  <c r="AC80" i="20"/>
  <c r="B81" i="20"/>
  <c r="AC88" i="20"/>
  <c r="C180" i="20"/>
  <c r="G180" i="20"/>
  <c r="K180" i="20"/>
  <c r="D180" i="20"/>
  <c r="H180" i="20"/>
  <c r="L180" i="20"/>
  <c r="D184" i="20"/>
  <c r="H184" i="20"/>
  <c r="L184" i="20"/>
  <c r="E101" i="20"/>
  <c r="I101" i="20"/>
  <c r="E180" i="20"/>
  <c r="I180" i="20"/>
  <c r="M180" i="20"/>
  <c r="N65" i="20" l="1"/>
  <c r="J30" i="19"/>
  <c r="L47" i="19"/>
  <c r="AC75" i="20"/>
  <c r="Q7" i="20"/>
  <c r="M42" i="19"/>
  <c r="N42" i="19" s="1"/>
  <c r="L42" i="19"/>
  <c r="L32" i="19"/>
  <c r="M32" i="19"/>
  <c r="N32" i="19" s="1"/>
  <c r="K57" i="20"/>
  <c r="G57" i="20"/>
  <c r="C57" i="20"/>
  <c r="M57" i="20"/>
  <c r="I57" i="20"/>
  <c r="E57" i="20"/>
  <c r="H57" i="20"/>
  <c r="F57" i="20"/>
  <c r="L57" i="20"/>
  <c r="D57" i="20"/>
  <c r="J57" i="20"/>
  <c r="B57" i="20"/>
  <c r="J83" i="20"/>
  <c r="F83" i="20"/>
  <c r="B83" i="20"/>
  <c r="L83" i="20"/>
  <c r="H83" i="20"/>
  <c r="D83" i="20"/>
  <c r="M83" i="20"/>
  <c r="E83" i="20"/>
  <c r="K83" i="20"/>
  <c r="C83" i="20"/>
  <c r="I83" i="20"/>
  <c r="G83" i="20"/>
  <c r="AC92" i="20"/>
  <c r="K92" i="20"/>
  <c r="G92" i="20"/>
  <c r="C92" i="20"/>
  <c r="M92" i="20"/>
  <c r="I92" i="20"/>
  <c r="E92" i="20"/>
  <c r="H92" i="20"/>
  <c r="F92" i="20"/>
  <c r="L92" i="20"/>
  <c r="D92" i="20"/>
  <c r="J92" i="20"/>
  <c r="B92" i="20"/>
  <c r="J90" i="20"/>
  <c r="J81" i="20"/>
  <c r="H81" i="20"/>
  <c r="K19" i="19"/>
  <c r="F48" i="20"/>
  <c r="L81" i="20"/>
  <c r="I81" i="20"/>
  <c r="I90" i="20"/>
  <c r="M90" i="20"/>
  <c r="L90" i="20"/>
  <c r="AC83" i="20"/>
  <c r="K90" i="20"/>
  <c r="N80" i="20"/>
  <c r="N82" i="20" s="1"/>
  <c r="L47" i="20"/>
  <c r="H47" i="20"/>
  <c r="J47" i="20"/>
  <c r="F47" i="20"/>
  <c r="B47" i="20"/>
  <c r="B48" i="20"/>
  <c r="K47" i="20"/>
  <c r="D47" i="20"/>
  <c r="I47" i="20"/>
  <c r="C47" i="20"/>
  <c r="G47" i="20"/>
  <c r="M47" i="20"/>
  <c r="E47" i="20"/>
  <c r="N46" i="20"/>
  <c r="N48" i="20" s="1"/>
  <c r="K81" i="20"/>
  <c r="M81" i="20"/>
  <c r="N89" i="20"/>
  <c r="N91" i="20" s="1"/>
  <c r="M44" i="19"/>
  <c r="N44" i="19" s="1"/>
  <c r="L44" i="19"/>
  <c r="L30" i="19" l="1"/>
  <c r="M30" i="19"/>
  <c r="N30" i="19" s="1"/>
  <c r="N41" i="19" s="1"/>
  <c r="N51" i="19"/>
  <c r="M19" i="19"/>
  <c r="N19" i="19" s="1"/>
  <c r="L19" i="19"/>
  <c r="N52" i="19" l="1"/>
  <c r="N53" i="19"/>
  <c r="H8" i="19" s="1"/>
  <c r="H6" i="19"/>
  <c r="N20" i="19"/>
  <c r="N61" i="19" l="1"/>
  <c r="N62" i="19" s="1"/>
  <c r="H47" i="14" l="1"/>
  <c r="M10" i="14"/>
  <c r="H10" i="14"/>
  <c r="M48" i="14" l="1"/>
  <c r="H48" i="14"/>
  <c r="H7" i="14"/>
  <c r="H13" i="14"/>
  <c r="H8" i="14"/>
  <c r="H9" i="14"/>
  <c r="H12" i="14"/>
  <c r="H14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8" i="14"/>
  <c r="H39" i="14"/>
  <c r="H40" i="14"/>
  <c r="H41" i="14"/>
  <c r="H43" i="14"/>
  <c r="H44" i="14"/>
  <c r="M33" i="14"/>
  <c r="M39" i="14"/>
  <c r="M38" i="14"/>
  <c r="M34" i="14"/>
  <c r="M44" i="14"/>
  <c r="M12" i="14"/>
  <c r="M8" i="14"/>
  <c r="M41" i="14" l="1"/>
  <c r="M32" i="14"/>
  <c r="M30" i="14"/>
  <c r="M25" i="14"/>
  <c r="M18" i="14"/>
  <c r="M9" i="14"/>
  <c r="M7" i="14"/>
  <c r="M43" i="14"/>
  <c r="M14" i="14"/>
  <c r="M26" i="14"/>
  <c r="M31" i="14"/>
  <c r="M22" i="14"/>
  <c r="M19" i="14"/>
  <c r="M17" i="14"/>
  <c r="M29" i="14"/>
  <c r="M20" i="14"/>
  <c r="M16" i="14"/>
  <c r="M27" i="14"/>
  <c r="M21" i="14"/>
  <c r="M28" i="14"/>
  <c r="M40" i="14"/>
  <c r="G49" i="14"/>
  <c r="I49" i="14"/>
  <c r="J49" i="14"/>
  <c r="K49" i="14"/>
  <c r="L49" i="14"/>
  <c r="F49" i="14"/>
  <c r="M24" i="14"/>
  <c r="M13" i="14"/>
  <c r="M23" i="14"/>
  <c r="J51" i="14" l="1"/>
  <c r="G51" i="14" l="1"/>
  <c r="E5" i="12" l="1"/>
  <c r="C11" i="12"/>
  <c r="C10" i="12" l="1"/>
  <c r="M151" i="1"/>
  <c r="L151" i="1"/>
  <c r="K151" i="1"/>
  <c r="J151" i="1"/>
  <c r="H151" i="1"/>
  <c r="G151" i="1"/>
  <c r="K113" i="3" l="1"/>
  <c r="J113" i="3"/>
  <c r="I113" i="3"/>
  <c r="H113" i="3"/>
  <c r="G113" i="3"/>
  <c r="F113" i="3"/>
  <c r="C9" i="12" l="1"/>
  <c r="C12" i="12" l="1"/>
  <c r="E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D24" authorId="0" shapeId="0" xr:uid="{AE0740DA-0826-436A-90A7-FA38F7C3101C}">
      <text>
        <r>
          <rPr>
            <b/>
            <sz val="9"/>
            <color indexed="81"/>
            <rFont val="Tahoma"/>
            <family val="2"/>
          </rPr>
          <t xml:space="preserve">MT05:
YTD,
</t>
        </r>
        <r>
          <rPr>
            <sz val="9"/>
            <color indexed="81"/>
            <rFont val="Tahoma"/>
            <family val="2"/>
          </rPr>
          <t>Data dari Sales MKT  &amp; BusDev</t>
        </r>
      </text>
    </comment>
    <comment ref="D25" authorId="0" shapeId="0" xr:uid="{E62CE971-567E-462E-8120-90CA8210654A}">
      <text>
        <r>
          <rPr>
            <b/>
            <sz val="9"/>
            <color indexed="81"/>
            <rFont val="Tahoma"/>
            <family val="2"/>
          </rPr>
          <t xml:space="preserve">MT05
</t>
        </r>
        <r>
          <rPr>
            <sz val="9"/>
            <color indexed="81"/>
            <rFont val="Tahoma"/>
            <family val="2"/>
          </rPr>
          <t xml:space="preserve">Data diambil dari RnD atau Tarikan Data SAP?
</t>
        </r>
      </text>
    </comment>
    <comment ref="D32" authorId="0" shapeId="0" xr:uid="{82F5AECC-DDE6-4505-BCF0-CCA3442BD96F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dari MSD, validasi data yang sudah dibuat oleh MSD
</t>
        </r>
      </text>
    </comment>
    <comment ref="J42" authorId="0" shapeId="0" xr:uid="{C00144C9-8B06-44FB-9795-1D1EC035BB71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  <comment ref="D47" authorId="0" shapeId="0" xr:uid="{F6FADEC3-7312-4E6A-8F07-CC773F300D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Cara perhitungan temuannya gimana</t>
        </r>
      </text>
    </comment>
    <comment ref="D49" authorId="0" shapeId="0" xr:uid="{EEC07F75-E417-40F0-9368-92233A46264B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List data digitalisasi semua dept. rerquest ke tim IT
kemudian presentase ketercapaiannya.</t>
        </r>
      </text>
    </comment>
    <comment ref="D50" authorId="0" shapeId="0" xr:uid="{30084C4E-CAA2-490A-8009-FBDC4D370BE9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hasil produksi yang menggunakan robot perhitungannya bagaimana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  <author>Ivo</author>
    <author>Lilik</author>
  </authors>
  <commentList>
    <comment ref="A61" authorId="0" shapeId="0" xr:uid="{DA270DF8-9EF0-45C0-A01B-AA67179F5567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Indikator Komplain apakah complain yang sudah closed atau semua komplain yang masuk</t>
        </r>
      </text>
    </comment>
    <comment ref="E113" authorId="1" shapeId="0" xr:uid="{A0E421A3-6466-42CC-ADE9-9B434EE198A9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Echool art no. 3</t>
        </r>
      </text>
    </comment>
    <comment ref="A150" authorId="2" shapeId="0" xr:uid="{4B3C86ED-7D8A-4168-8455-76DFEED5F255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  <comment ref="A158" authorId="2" shapeId="0" xr:uid="{48AEDEDC-65EC-42AF-A20B-DBC78EF33532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</commentList>
</comments>
</file>

<file path=xl/sharedStrings.xml><?xml version="1.0" encoding="utf-8"?>
<sst xmlns="http://schemas.openxmlformats.org/spreadsheetml/2006/main" count="3299" uniqueCount="1006">
  <si>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</si>
  <si>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</si>
  <si>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</si>
  <si>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</si>
  <si>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</si>
  <si>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</si>
  <si>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</si>
  <si>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</si>
  <si>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</si>
  <si>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</si>
  <si>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</si>
  <si>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</si>
  <si>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</si>
  <si>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</si>
  <si>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</si>
  <si>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</si>
  <si>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</si>
  <si>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</si>
  <si>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</si>
  <si>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</si>
  <si>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</si>
  <si>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</si>
  <si>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</si>
  <si>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</si>
  <si>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</si>
  <si>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</si>
  <si>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</si>
  <si>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</si>
  <si>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</si>
  <si>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</si>
  <si>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</si>
  <si>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</si>
  <si>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</si>
  <si>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</si>
  <si>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</si>
  <si>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</si>
  <si>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</si>
  <si>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</si>
  <si>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</si>
  <si>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</si>
  <si>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</si>
  <si>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</si>
  <si>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</si>
  <si>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</si>
  <si>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</si>
  <si>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</si>
  <si>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</si>
  <si>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</si>
  <si>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</si>
  <si>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</si>
  <si>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</si>
  <si>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</si>
  <si>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</si>
  <si>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</si>
  <si>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</si>
  <si>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</si>
  <si>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</si>
  <si>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</si>
  <si>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</si>
  <si>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</si>
  <si>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</si>
  <si>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</si>
  <si>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</si>
  <si>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</si>
  <si>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</si>
  <si>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</si>
  <si>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</si>
  <si>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</si>
  <si>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</si>
  <si>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</si>
  <si>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</si>
  <si>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</si>
  <si>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</si>
  <si>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</si>
  <si>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</si>
  <si>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</si>
  <si>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</si>
  <si>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</si>
  <si>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</si>
  <si>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</si>
  <si>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</si>
  <si>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</si>
  <si>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</si>
  <si>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</si>
  <si>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</si>
  <si>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</si>
  <si>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</si>
  <si>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</si>
  <si>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</si>
  <si>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</si>
  <si>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</si>
  <si>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</si>
  <si>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</si>
  <si>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</si>
  <si>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</si>
  <si>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</si>
  <si>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</si>
  <si>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</si>
  <si>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</si>
  <si>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</si>
  <si>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</si>
  <si>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</si>
  <si>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</si>
  <si>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</si>
  <si>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</si>
  <si>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</si>
  <si>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</si>
  <si>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</si>
  <si>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</si>
  <si>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</si>
  <si>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</si>
  <si>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</si>
  <si>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</si>
  <si>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</si>
  <si>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</si>
  <si>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</si>
  <si>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</si>
  <si>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</si>
  <si>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</si>
  <si>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</si>
  <si>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</si>
  <si>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</si>
  <si>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</si>
  <si>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</si>
  <si>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</si>
  <si>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</si>
  <si>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</si>
  <si>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</si>
  <si>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</si>
  <si>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</si>
  <si>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</si>
  <si>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</si>
  <si>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</si>
  <si>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</si>
  <si>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</si>
  <si>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</si>
  <si>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</si>
  <si>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</si>
  <si>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</si>
  <si>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</si>
  <si>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</si>
  <si>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</si>
  <si>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</si>
  <si>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</si>
  <si>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</si>
  <si>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</si>
  <si>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</si>
  <si>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</si>
  <si>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</si>
  <si>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</si>
  <si>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</si>
  <si>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</si>
  <si>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</si>
  <si>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</si>
  <si>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</si>
  <si>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</si>
  <si>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</si>
  <si>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</si>
  <si>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</si>
  <si>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</si>
  <si>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</si>
  <si>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</si>
  <si>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</si>
  <si>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</si>
  <si>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</si>
  <si>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</si>
  <si>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</si>
  <si>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</si>
  <si>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</si>
  <si>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</si>
  <si>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</si>
  <si>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</si>
  <si>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</si>
  <si>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</si>
  <si>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</si>
  <si>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</si>
  <si>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</si>
  <si>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</si>
  <si>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</si>
  <si>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</si>
  <si>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</si>
  <si>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</si>
  <si>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</si>
  <si>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</si>
  <si>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</si>
  <si>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</si>
  <si>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</si>
  <si>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</si>
  <si>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</si>
  <si>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</si>
  <si>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</si>
  <si>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</si>
  <si>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</si>
  <si>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</si>
  <si>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</si>
  <si>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</si>
  <si>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</si>
  <si>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</si>
  <si>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</si>
  <si>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</si>
  <si>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</si>
  <si>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</si>
  <si>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</si>
  <si>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</si>
  <si>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</si>
  <si>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</si>
  <si>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</si>
  <si>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</si>
  <si>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</si>
  <si>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</si>
  <si>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</si>
  <si>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</si>
  <si>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</si>
  <si>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</si>
  <si>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</si>
  <si>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</si>
  <si>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</si>
  <si>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</si>
  <si>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</si>
  <si>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</si>
  <si>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</si>
  <si>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</si>
  <si>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</si>
  <si>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</si>
  <si>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</si>
  <si>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</si>
  <si>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</si>
  <si>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</si>
  <si>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</si>
  <si>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</si>
  <si>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</si>
  <si>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</si>
  <si>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</si>
  <si>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</si>
  <si>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</si>
  <si>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</si>
  <si>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</si>
  <si>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</si>
  <si>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</si>
  <si>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</si>
  <si>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</si>
  <si>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</si>
  <si>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</si>
  <si>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</si>
  <si>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</si>
  <si>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</si>
  <si>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</si>
  <si>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</si>
  <si>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</si>
  <si>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</si>
  <si>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</si>
  <si>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</si>
  <si>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</si>
  <si>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</si>
  <si>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</si>
  <si>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</si>
  <si>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</si>
  <si>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</si>
  <si>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</si>
  <si>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</si>
  <si>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</si>
  <si>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</si>
  <si>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</si>
  <si>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</si>
  <si>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</si>
  <si>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</si>
  <si>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</si>
  <si>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</si>
  <si>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</si>
  <si>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</si>
  <si>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</si>
  <si>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</si>
  <si>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</si>
  <si>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</si>
  <si>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</si>
  <si>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</si>
  <si>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</si>
  <si>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</si>
  <si>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</si>
  <si>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</si>
  <si>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</si>
  <si>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</si>
  <si>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</si>
  <si>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</si>
  <si>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</si>
  <si>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</si>
  <si>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</si>
  <si>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</si>
  <si>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</si>
  <si>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</si>
  <si>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</si>
  <si>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</si>
  <si>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</si>
  <si>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</si>
  <si>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</si>
  <si>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</si>
  <si>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</si>
  <si>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</si>
  <si>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</si>
  <si>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</si>
  <si>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</si>
  <si>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</si>
  <si>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</si>
  <si>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</si>
  <si>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</si>
  <si>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</si>
  <si>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</si>
  <si>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</si>
  <si>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</si>
  <si>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</si>
  <si>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</si>
  <si>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</si>
  <si>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</si>
  <si>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</si>
  <si>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</si>
  <si>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</si>
  <si>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</si>
  <si>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</si>
  <si>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</si>
  <si>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</si>
  <si>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</si>
  <si>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</si>
  <si>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</si>
  <si>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</si>
  <si>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</si>
  <si>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</si>
  <si>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</si>
  <si>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</si>
  <si>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</si>
  <si>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</si>
  <si>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</si>
  <si>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</si>
  <si>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</si>
  <si>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</si>
  <si>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</si>
  <si>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</si>
  <si>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</si>
  <si>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</si>
  <si>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</si>
  <si>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</si>
  <si>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</si>
  <si>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</si>
  <si>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</si>
  <si>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</si>
  <si>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</si>
  <si>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</si>
  <si>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</si>
  <si>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</si>
  <si>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</si>
  <si>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</si>
  <si>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</si>
  <si>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</si>
  <si>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</si>
  <si>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</si>
  <si>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</si>
  <si>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</si>
  <si>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</si>
  <si>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</si>
  <si>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</si>
  <si>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</si>
  <si>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</si>
  <si>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</si>
  <si>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</si>
  <si>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</si>
  <si>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</si>
  <si>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</si>
  <si>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</si>
  <si>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</si>
  <si>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</si>
  <si>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</si>
  <si>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</si>
  <si>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</si>
  <si>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</si>
  <si>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</si>
  <si>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</si>
  <si>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</si>
  <si>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</si>
  <si>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</si>
  <si>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</si>
  <si>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</si>
  <si>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</si>
  <si>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</si>
  <si>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</si>
  <si>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</si>
  <si>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</si>
  <si>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</si>
  <si>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</si>
  <si>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</si>
  <si>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</si>
  <si>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</si>
  <si>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</si>
  <si>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</si>
  <si>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</si>
  <si>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</si>
  <si>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</si>
  <si>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</si>
  <si>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</si>
  <si>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</si>
  <si>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</si>
  <si>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</si>
  <si>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</si>
  <si>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</si>
  <si>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</si>
  <si>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</si>
  <si>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</si>
  <si>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</si>
  <si>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</si>
  <si>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</si>
  <si>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</si>
  <si>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</si>
  <si>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</si>
  <si>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</si>
  <si>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</si>
  <si>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</si>
  <si>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</si>
  <si>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</si>
  <si>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</si>
  <si>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</si>
  <si>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</si>
  <si>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</si>
  <si>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</si>
  <si>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</si>
  <si>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</si>
  <si>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</si>
  <si>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</si>
  <si>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</si>
  <si>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</si>
  <si>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</si>
  <si>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</si>
  <si>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</si>
  <si>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</si>
  <si>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</si>
  <si>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</si>
  <si>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</si>
  <si>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</si>
  <si>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</si>
  <si>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</si>
  <si>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</si>
  <si>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</si>
  <si>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</si>
  <si>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</si>
  <si>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</si>
  <si>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</si>
  <si>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</si>
  <si>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</si>
  <si>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</si>
  <si>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</si>
  <si>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</si>
  <si>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</si>
  <si>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</si>
  <si>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</si>
  <si>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</si>
  <si>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</si>
  <si>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</si>
  <si>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</si>
  <si>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</si>
  <si>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</si>
  <si>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</si>
  <si>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</si>
  <si>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</si>
  <si>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</si>
  <si>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</si>
  <si>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</si>
  <si>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</si>
  <si>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</si>
  <si>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</si>
  <si>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</si>
  <si>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</si>
  <si>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</si>
  <si>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</si>
  <si>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</si>
  <si>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</si>
  <si>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</si>
  <si>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</si>
  <si>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</si>
  <si>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</si>
  <si>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</si>
  <si>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</si>
  <si>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</si>
  <si>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</si>
  <si>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</si>
  <si>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</si>
  <si>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</si>
  <si>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</si>
  <si>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</si>
  <si>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</si>
  <si>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</si>
  <si>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</si>
  <si>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</si>
  <si>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</si>
  <si>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</si>
  <si>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</si>
  <si>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</si>
  <si>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</si>
  <si>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</si>
  <si>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</si>
  <si>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</si>
  <si>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</si>
  <si>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</si>
  <si>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</si>
  <si>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</si>
  <si>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</si>
  <si>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</si>
  <si>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</si>
  <si>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</si>
  <si>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</si>
  <si>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</si>
  <si>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</si>
  <si>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</si>
  <si>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</si>
  <si>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</si>
  <si>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</si>
  <si>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</si>
  <si>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</si>
  <si>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</si>
  <si>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</si>
  <si>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SO4</t>
  </si>
  <si>
    <t>WO4</t>
  </si>
  <si>
    <t>SO5</t>
  </si>
  <si>
    <t>WO5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</si>
  <si>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</si>
  <si>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</si>
  <si>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</si>
  <si>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</si>
  <si>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</si>
  <si>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</si>
  <si>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</si>
  <si>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</si>
  <si>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</si>
  <si>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</si>
  <si>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</si>
  <si>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</si>
  <si>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</si>
  <si>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</si>
  <si>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</si>
  <si>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</si>
  <si>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</si>
  <si>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</si>
  <si>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ST7</t>
  </si>
  <si>
    <t>ST8</t>
  </si>
  <si>
    <t>WT7</t>
  </si>
  <si>
    <t>Karyawan</t>
  </si>
  <si>
    <t>Customer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</si>
  <si>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</si>
  <si>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</si>
  <si>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 xml:space="preserve">Kebijakan pemerintah terkait pemberian insentif pada produk yang sudah memiliki sertifikasi TKDN </t>
  </si>
  <si>
    <t>Permintaan produk customize dari konsumen cenderung meningkat dan cukup banyak</t>
  </si>
  <si>
    <t>Masyarakat</t>
  </si>
  <si>
    <t>Pemegang saham</t>
  </si>
  <si>
    <t>CSR untuk masyarakat sekitar</t>
  </si>
  <si>
    <t>SO9</t>
  </si>
  <si>
    <t>WT8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</si>
  <si>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</si>
  <si>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</si>
  <si>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</si>
  <si>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</si>
  <si>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</si>
  <si>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</si>
  <si>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</si>
  <si>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</si>
  <si>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</si>
  <si>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</si>
  <si>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</si>
  <si>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</si>
  <si>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</si>
  <si>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</si>
  <si>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Pemerintah</t>
  </si>
  <si>
    <t>Kepatuhan terhadap regulasi yang berlaku</t>
  </si>
  <si>
    <t>Manajemen</t>
  </si>
  <si>
    <t>WT9</t>
  </si>
  <si>
    <t>TH. 2025</t>
  </si>
  <si>
    <t>PT. CHITOSE INTERNASIONAL TBK.</t>
  </si>
  <si>
    <t>Pengiriman pesanan tepat waktu</t>
  </si>
  <si>
    <t>Produk CINT sudah tersertifikasi TKDN dan SNI</t>
  </si>
  <si>
    <t>Sumber Daya Manusia</t>
  </si>
  <si>
    <t>STRATEGI 2025</t>
  </si>
  <si>
    <t>SO10</t>
  </si>
  <si>
    <t>Budaya Kaizen konsisten diimplementasikan di lingkungan Chitose</t>
  </si>
  <si>
    <t>Pembagian dividen lebih baik dari tahun sebelumnya</t>
  </si>
  <si>
    <t>Zero accident</t>
  </si>
  <si>
    <t>Terjadi kecelakaan kerja 6 kali di tahun 2024</t>
  </si>
  <si>
    <t>Kesempatan pengembangan karir</t>
  </si>
  <si>
    <t>Produk CINT mudah dijangkau</t>
  </si>
  <si>
    <t>Dasar Perhitungan Actual Cost di SAP untuk masing masing produk masih menggunakan metode distribusi biaya</t>
  </si>
  <si>
    <t>Penjualan Produk Chitose melalui e-commerce Tokopedia &amp; Platform jual beli pemerintah</t>
  </si>
  <si>
    <t>Dapat memenuhi permintaan Alkes sesuai kebutuhan customer</t>
  </si>
  <si>
    <t>Harga produk Chitose lebih murah dari brand lain</t>
  </si>
  <si>
    <t>Keterbukaan supplier dalam meningkatkan kemampuan dan kualitas sesuai standar CINT</t>
  </si>
  <si>
    <t>Dapat memenuhi permintaan CINT sesuai standar yang ditetapkan</t>
  </si>
  <si>
    <t>Masih adanya single supplier</t>
  </si>
  <si>
    <t>Harga Produk Chitose lebih mahal dibandingkan dengan brand lain</t>
  </si>
  <si>
    <t>Titik A</t>
  </si>
  <si>
    <t>Titik B</t>
  </si>
  <si>
    <t>Titik C</t>
  </si>
  <si>
    <t>Titik D</t>
  </si>
  <si>
    <t>X</t>
  </si>
  <si>
    <t>Y</t>
  </si>
  <si>
    <t>Kuadran</t>
  </si>
  <si>
    <t>1
GROWTH 
Konsentrasi melalui integrasi vertikal</t>
  </si>
  <si>
    <t>2.
Konsentrasi melalui Integrasi Horizontal</t>
  </si>
  <si>
    <r>
      <t xml:space="preserve">3.
RETRENCHMENT
</t>
    </r>
    <r>
      <rPr>
        <i/>
        <sz val="11"/>
        <color theme="1"/>
        <rFont val="Calibri"/>
        <family val="2"/>
        <scheme val="minor"/>
      </rPr>
      <t>Turn around</t>
    </r>
  </si>
  <si>
    <t>4.
STABILITY
Hati-hati</t>
  </si>
  <si>
    <t>5.
Konsentrasi melalui Integrasi Horizontal
STABILITY
Tak ada perubahan profit strategi</t>
  </si>
  <si>
    <r>
      <t xml:space="preserve">6.
RETRENCHMENT
</t>
    </r>
    <r>
      <rPr>
        <i/>
        <sz val="11"/>
        <color theme="1"/>
        <rFont val="Calibri"/>
        <family val="2"/>
        <scheme val="minor"/>
      </rPr>
      <t>Captive Company atau Divestment</t>
    </r>
  </si>
  <si>
    <t>7.
GROWTH 
Diversifikasi Konsentrik</t>
  </si>
  <si>
    <t>8.
GROWTH
Diversifikasi Konglomerat</t>
  </si>
  <si>
    <t>9. RETRENCHMENT
Bangkrut atau Likuidasi</t>
  </si>
  <si>
    <t>WT10</t>
  </si>
  <si>
    <t>Koordinat</t>
  </si>
  <si>
    <t>Angka</t>
  </si>
  <si>
    <t>Kaizen</t>
  </si>
  <si>
    <t>Tidak ada komplain pelanggan</t>
  </si>
  <si>
    <t>Masih ada komplain pelanggan terkait produk CINT</t>
  </si>
  <si>
    <t>Belum disiplin dalam penggunaan APD</t>
  </si>
  <si>
    <t>Karyawan disiplin dalam penggunaan APD</t>
  </si>
  <si>
    <t>Turn over stock semua kategori finish good tinggi</t>
  </si>
  <si>
    <t>Investasi sarana &amp; prasarana digunakan secara maksimal</t>
  </si>
  <si>
    <t>Strategi pemasaran digital menggunakan Search Engine Optimization (SEO)</t>
  </si>
  <si>
    <t>Cash flow operation positif</t>
  </si>
  <si>
    <t>Terbukanya pasar baru untuk alat kesehatan manusia di pasar swasta, alkes hewan, penjualan furnitur dengan interior design, serta perluasan pasar ke Middle East yang menerapkan Eco-Friendly.</t>
  </si>
  <si>
    <t>WO9</t>
  </si>
  <si>
    <t>WO10</t>
  </si>
  <si>
    <t>Konsisten pelaksanaan program CSR untuk masyarakat sekitar</t>
  </si>
  <si>
    <t>Ketepatan realisasi produksi terhadap APS 100%</t>
  </si>
  <si>
    <t>SO11</t>
  </si>
  <si>
    <t>SO12</t>
  </si>
  <si>
    <t>KEY PERFORMANCE INDICATOR DEFINITION (Rating)</t>
  </si>
  <si>
    <t>Performance</t>
  </si>
  <si>
    <t>Mid Year Review</t>
  </si>
  <si>
    <t>Total 
KPI</t>
  </si>
  <si>
    <t>Performance Score of Achievement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</si>
  <si>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</si>
  <si>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</si>
  <si>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</si>
  <si>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</si>
  <si>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</si>
  <si>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</si>
  <si>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</si>
  <si>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</si>
  <si>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Target</t>
  </si>
  <si>
    <t>Actual</t>
  </si>
  <si>
    <t>Deviasi</t>
  </si>
  <si>
    <t>Final Score</t>
  </si>
  <si>
    <t>(a)</t>
  </si>
  <si>
    <t>(b)</t>
  </si>
  <si>
    <t>(c)</t>
  </si>
  <si>
    <t>(d)</t>
  </si>
  <si>
    <t>(d) = (c) : (b)</t>
  </si>
  <si>
    <t>(e) = (d) x (a)</t>
  </si>
  <si>
    <t>Finance</t>
  </si>
  <si>
    <t>F.1. Sales Growth</t>
  </si>
  <si>
    <t>Total Sales/ Tahun</t>
  </si>
  <si>
    <t>Maximize</t>
  </si>
  <si>
    <t>Lock</t>
  </si>
  <si>
    <t>F.2. Profitable Growth</t>
  </si>
  <si>
    <t>Gross Profit</t>
  </si>
  <si>
    <t>All Dept</t>
  </si>
  <si>
    <t>F.3. Cost Effectiveness</t>
  </si>
  <si>
    <t>Minimize</t>
  </si>
  <si>
    <t>Total Finance Perspective</t>
  </si>
  <si>
    <t>C.1. Customer Satisfaction</t>
  </si>
  <si>
    <t>Claim/Bulan (Rupiah)</t>
  </si>
  <si>
    <t>Min to Zero</t>
  </si>
  <si>
    <t>C.2. Customer Loyalty</t>
  </si>
  <si>
    <t>Customer melakukan pembelian ulang</t>
  </si>
  <si>
    <t>C.3. Innovative Products</t>
  </si>
  <si>
    <t>Total Internal Process Perspective</t>
  </si>
  <si>
    <t>Internal Process</t>
  </si>
  <si>
    <t>I.1. Production Quality</t>
  </si>
  <si>
    <t>Kegagalan G2/ bulan</t>
  </si>
  <si>
    <t>Komplain produk/ bulan</t>
  </si>
  <si>
    <t>I.2. Productivity</t>
  </si>
  <si>
    <t>Kapasitas Produksi Normal per hari</t>
  </si>
  <si>
    <t>Overall Equipment Efectivness (OEE)</t>
  </si>
  <si>
    <t>`</t>
  </si>
  <si>
    <t>I.4. Inventory Management</t>
  </si>
  <si>
    <t>Learning &amp; Growth</t>
  </si>
  <si>
    <t>L.1. Organization Capital</t>
  </si>
  <si>
    <t>Kaizen Strategis</t>
  </si>
  <si>
    <t>Keterlibatan Kaizen / Bulan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</si>
  <si>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</si>
  <si>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</si>
  <si>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</si>
  <si>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</si>
  <si>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</si>
  <si>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</si>
  <si>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</si>
  <si>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</si>
  <si>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</si>
  <si>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</si>
  <si>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</si>
  <si>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</si>
  <si>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</si>
  <si>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</si>
  <si>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</si>
  <si>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</si>
  <si>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</si>
  <si>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</si>
  <si>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</si>
  <si>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</si>
  <si>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</si>
  <si>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</si>
  <si>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CORPORATE BALANCE SCORE CARD CINT 2024</t>
  </si>
  <si>
    <t>Full Year Review</t>
  </si>
  <si>
    <t>Jan</t>
  </si>
  <si>
    <t>Feb</t>
  </si>
  <si>
    <t>Mar</t>
  </si>
  <si>
    <t>Apr</t>
  </si>
  <si>
    <t>Unlock</t>
  </si>
  <si>
    <t>May</t>
  </si>
  <si>
    <t>&lt;-- Pilih Periode</t>
  </si>
  <si>
    <t>Jul</t>
  </si>
  <si>
    <t>Stabilize to Target</t>
  </si>
  <si>
    <t>KPI/Strategic Measures</t>
  </si>
  <si>
    <t>Satuan</t>
  </si>
  <si>
    <t>Aug</t>
  </si>
  <si>
    <t>Stabilize to Zero</t>
  </si>
  <si>
    <t>Sep</t>
  </si>
  <si>
    <t>MKT &amp; Sales, Busdev, E-Catalog, GlobSourch</t>
  </si>
  <si>
    <t>Milyard Rupiah</t>
  </si>
  <si>
    <t>Oct</t>
  </si>
  <si>
    <t>Akumulasi Gross Profit</t>
  </si>
  <si>
    <t xml:space="preserve">MKT &amp; Sales, Busdev, E-Catalog, GlobSourch, SCM, PRD, HCGA &amp; PCH </t>
  </si>
  <si>
    <t>Nov</t>
  </si>
  <si>
    <t xml:space="preserve">Net Profit Before Tax </t>
  </si>
  <si>
    <t>Dec</t>
  </si>
  <si>
    <t>Selling Expenses dari Total Penjualan</t>
  </si>
  <si>
    <t>%</t>
  </si>
  <si>
    <t>Achievement YTD</t>
  </si>
  <si>
    <t>GA Expenses</t>
  </si>
  <si>
    <t xml:space="preserve">Interest Expenses </t>
  </si>
  <si>
    <t>FIACO, PCH, MKT &amp; Sales, Busdev, GlobSourch</t>
  </si>
  <si>
    <t>Survey  kepuasan pelanggan per tahun</t>
  </si>
  <si>
    <t>Adm. MKT &amp; Sales, MKT Sisdev, CMS</t>
  </si>
  <si>
    <t>YTD</t>
  </si>
  <si>
    <t>Indeks kepuasan pelanggan per tahun</t>
  </si>
  <si>
    <t>Indeks</t>
  </si>
  <si>
    <t>MKT &amp; Sales, GlobSourch,
E-Catalog, Busdev,
QC, PRD</t>
  </si>
  <si>
    <t>Rupih</t>
  </si>
  <si>
    <t>MKT &amp; Sales, Busdev, GlobSourch</t>
  </si>
  <si>
    <t>Produk hasil pengembangan tahun 2024 dapat diserap pasar</t>
  </si>
  <si>
    <t>RND, MKT &amp; Sales, Busdev, GlobSourch</t>
  </si>
  <si>
    <t>Produk</t>
  </si>
  <si>
    <t>Pengembangan produk sesuai permintaan</t>
  </si>
  <si>
    <t>Simplifikasi material dan proses</t>
  </si>
  <si>
    <t>Total Customer Perspective</t>
  </si>
  <si>
    <t>PRD, QC, ENG, SCM</t>
  </si>
  <si>
    <t>PRD, QC, SCM, RND</t>
  </si>
  <si>
    <t>Complain</t>
  </si>
  <si>
    <t>PRD, ENG, HCGA, SCM</t>
  </si>
  <si>
    <t>Pcs</t>
  </si>
  <si>
    <t>ENG, PRD</t>
  </si>
  <si>
    <t>Kehadiran Karyawan</t>
  </si>
  <si>
    <t>I.3. Enviromental, Social, Governance</t>
  </si>
  <si>
    <t xml:space="preserve">Pencapaian Target Intensitas Energi </t>
  </si>
  <si>
    <t>(GJ/Pcs)</t>
  </si>
  <si>
    <t xml:space="preserve">Pencapaian Target Intensitas Emisi CO2 </t>
  </si>
  <si>
    <t>(ton CO2/Pcs)</t>
  </si>
  <si>
    <t xml:space="preserve">Pencapaian Target Intensitas Waste Water </t>
  </si>
  <si>
    <t>(M3/Pcs)</t>
  </si>
  <si>
    <t xml:space="preserve">Pencapaian Target Intensitas Solid Waste </t>
  </si>
  <si>
    <t>(ton/Pcs)</t>
  </si>
  <si>
    <t>Program Corporate Social Responsibility</t>
  </si>
  <si>
    <t>Total Inventory Single, Moving, Slow Moving</t>
  </si>
  <si>
    <t>MKT &amp; Sales, SCM, PCH, PRD</t>
  </si>
  <si>
    <t>Total Inventory Single, Unmoving</t>
  </si>
  <si>
    <t>Implementasi 5S &amp; K3</t>
  </si>
  <si>
    <t>Temuan</t>
  </si>
  <si>
    <t>Program Pengembangan Karyawan</t>
  </si>
  <si>
    <t>Pemenuhan GCG dan Kode Etik</t>
  </si>
  <si>
    <t>Sanksi</t>
  </si>
  <si>
    <t>Optimalisasi Aplikasi Sistem Managemen ISO Integrasi</t>
  </si>
  <si>
    <t>Temuan &amp; Ketepatan</t>
  </si>
  <si>
    <t>Pemenuhan/Kepatuhan pada Peraturan Perundangan yang berlaku</t>
  </si>
  <si>
    <t>Optimalisasi Program Digitalisasi</t>
  </si>
  <si>
    <t>Optimalisasi Robotik</t>
  </si>
  <si>
    <t>Financial</t>
  </si>
  <si>
    <t>Sales Konsol</t>
  </si>
  <si>
    <t>(dalam M)</t>
  </si>
  <si>
    <t>Total Sales/Tahun</t>
  </si>
  <si>
    <t>Jun</t>
  </si>
  <si>
    <t>Value</t>
  </si>
  <si>
    <t>Actual YTD</t>
  </si>
  <si>
    <t>% Achievement</t>
  </si>
  <si>
    <t>% YTD</t>
  </si>
  <si>
    <t>Total dari sales single</t>
  </si>
  <si>
    <t>% Ach</t>
  </si>
  <si>
    <t>Data dari Dir Adm.</t>
  </si>
  <si>
    <t>Net Profit Before Tax</t>
  </si>
  <si>
    <t>Selling Expense</t>
  </si>
  <si>
    <t>Direktorat</t>
  </si>
  <si>
    <t>Dir MKT &amp; SLS</t>
  </si>
  <si>
    <t>Dir BusDev</t>
  </si>
  <si>
    <t>Corporate</t>
  </si>
  <si>
    <t>GA Expense</t>
  </si>
  <si>
    <t>Dir Adm</t>
  </si>
  <si>
    <t>Actual %</t>
  </si>
  <si>
    <t>Dir Prod</t>
  </si>
  <si>
    <t>Interest Expense</t>
  </si>
  <si>
    <t>Data dari Dir Prod.</t>
  </si>
  <si>
    <t>in Rupiah</t>
  </si>
  <si>
    <t>Klaim/Bulan</t>
  </si>
  <si>
    <t>in Qty</t>
  </si>
  <si>
    <t>Komplain Produk</t>
  </si>
  <si>
    <t>Qty</t>
  </si>
  <si>
    <t>Keterlibatan Kaizen/Bulan</t>
  </si>
  <si>
    <t>Total temuan/bulan</t>
  </si>
  <si>
    <t>Total sanksi/bulan</t>
  </si>
  <si>
    <t>data dari HCGA</t>
  </si>
  <si>
    <t>Pemenuhan/Kepatuhan pada Peraturan Perundangan yang Berlaku</t>
  </si>
  <si>
    <t xml:space="preserve"> Program Digitalisasi</t>
  </si>
  <si>
    <t>Total Realisasi Program</t>
  </si>
  <si>
    <t>Qty Produk</t>
  </si>
  <si>
    <t>Hasil Pengembangan produk eksisting</t>
  </si>
  <si>
    <t>Meja belajar Sonoma (Dragon), KUMI CD</t>
  </si>
  <si>
    <t>Manabu AH Knock Down</t>
  </si>
  <si>
    <t>Echool Art 03</t>
  </si>
  <si>
    <t>% Achievement MTD</t>
  </si>
  <si>
    <t>% Achievement YTD</t>
  </si>
  <si>
    <t>Hasil Simplifikasi Komponen, material maupun produk</t>
  </si>
  <si>
    <t>Simplikasi H/F Board Multy bed, satu pipa untuk 3 alternati H/F : Indomedix, bosay, BD003)</t>
  </si>
  <si>
    <t>Simplikasi dalam proses Packing, 1 Packing terdiri dari satu set meja dan 1 set kursi, memudahkan dalam pengiriman, meningkatkan Isi angkutan (Menuurunkan ongkir)</t>
  </si>
  <si>
    <t>Jumlah Kegagalan G2 Internal</t>
  </si>
  <si>
    <t>Kapasitas Produksi Normal per Hari</t>
  </si>
  <si>
    <t>%  Achievement YTD</t>
  </si>
  <si>
    <t>Kehadiran karyawan</t>
  </si>
  <si>
    <t>in Milyar Rupiah</t>
  </si>
  <si>
    <t>Total Inventory Un Moving</t>
  </si>
  <si>
    <t>Peningkatan kompetensi teknis</t>
  </si>
  <si>
    <t>Target Training</t>
  </si>
  <si>
    <t>Data dari HCGA</t>
  </si>
  <si>
    <t>Kepatuhan GCG dan Kode Etik</t>
  </si>
  <si>
    <t>Optimalisasi sistem managemen ISO Integrasi</t>
  </si>
  <si>
    <t>Target ISO</t>
  </si>
  <si>
    <t>Target Temuan (Eksternal)</t>
  </si>
  <si>
    <t>Target Tepat Waktu (Internal - hari)</t>
  </si>
  <si>
    <t>Note</t>
  </si>
  <si>
    <t>Actual Temuan (Eksternal)</t>
  </si>
  <si>
    <t>Pencapaian Temuan Eksternal</t>
  </si>
  <si>
    <t>Actual Tepat Waktu  (Internal - hari)</t>
  </si>
  <si>
    <t>% Pencapaian Tepat Waktu</t>
  </si>
  <si>
    <t>OEE</t>
  </si>
  <si>
    <t>Actual Avaliability</t>
  </si>
  <si>
    <t>Actual Performance</t>
  </si>
  <si>
    <t>Actual Quality</t>
  </si>
  <si>
    <t>Actual OEE</t>
  </si>
  <si>
    <t>Dir Produksi</t>
  </si>
  <si>
    <t>Dir Sales MKT</t>
  </si>
  <si>
    <t>Juta Rupiah</t>
  </si>
  <si>
    <t xml:space="preserve">Strategi Inisiative </t>
  </si>
  <si>
    <t>Need Development</t>
  </si>
  <si>
    <t>Need Improvement</t>
  </si>
  <si>
    <t>Meet Requirement</t>
  </si>
  <si>
    <t>Outstanding</t>
  </si>
  <si>
    <t>Excellence</t>
  </si>
  <si>
    <t>Vendor</t>
  </si>
  <si>
    <t xml:space="preserve">Produk Alkes CINT masih terbatas </t>
  </si>
  <si>
    <t>Karir mapping belum terkonsep dengan baik</t>
  </si>
  <si>
    <t xml:space="preserve">Proses pengujian lebih cepat dan akurat </t>
  </si>
  <si>
    <t>Alat Uji Kualitas Alkes masih manual</t>
  </si>
  <si>
    <t>Turn over inventory finish good slow dan unmoving rendah</t>
  </si>
  <si>
    <t>Kenaikan profit dari investasi</t>
  </si>
  <si>
    <t>Memperpendek leadtime produksi sesuai permintaan customer</t>
  </si>
  <si>
    <t>Pemenuhan order tidak sesuai dengan permintaan customer</t>
  </si>
  <si>
    <t>Tidak terjadi short supply</t>
  </si>
  <si>
    <t>Multiskill teknis dapat terukur</t>
  </si>
  <si>
    <t>Multiskill karyawan belum dapat diukur</t>
  </si>
  <si>
    <t>Sistem manajemen terimplementasi dan terus dikembangkan</t>
  </si>
  <si>
    <t>Sistem manajemen terintegrasi dan program digitalisasi telah dijalankan</t>
  </si>
  <si>
    <t>Biaya maintenance terkendali dan mesin sesuai umur ekonomis</t>
  </si>
  <si>
    <t>Autonomus maintenance belum diimplementasikan</t>
  </si>
  <si>
    <t>Meningkatkan profitabilitas dari efisiensi dan efektivitas permesinan</t>
  </si>
  <si>
    <t>Mesin produksi sudah berumur sehingga tidak efisien dan efektif</t>
  </si>
  <si>
    <t>Meningkatkan penjualan melalui digital marketing</t>
  </si>
  <si>
    <t>Tidak ada komplain dan sanksi dari pemerintah dan masyarakat</t>
  </si>
  <si>
    <t>Mempercepat proses konsolidasi dan pengendalian internal</t>
  </si>
  <si>
    <t>Implementasi Direct Holding Integrated System (DHIS)</t>
  </si>
  <si>
    <t xml:space="preserve">DOH AR dan AP belum sesuai </t>
  </si>
  <si>
    <t>Hasil produksi sesuai kapasitas produksi</t>
  </si>
  <si>
    <t>Perhitungan kapasitas belum tepat</t>
  </si>
  <si>
    <t>Inventory FG dikelola dengan baik</t>
  </si>
  <si>
    <t>Manajemen gudang Finish Goods belum dikelola dengan baik</t>
  </si>
  <si>
    <t>Akurasi nilai COGS</t>
  </si>
  <si>
    <t>Kenaikan dividen</t>
  </si>
  <si>
    <t>Harga jual naik karena kenaikan PPN 12%</t>
  </si>
  <si>
    <t>Customer menerima kenaikan PPN 12%</t>
  </si>
  <si>
    <t>Produk yang dipasarkan sudah tersertifikasi TKDN dan SNI</t>
  </si>
  <si>
    <t>Menaati peraturan perundangan yang berlaku</t>
  </si>
  <si>
    <t>Peraturan perundangan perubahan dan baru</t>
  </si>
  <si>
    <t>Tersedianya material import yang lebih kompetitif</t>
  </si>
  <si>
    <t>Menaikan profitabilitas melalui global sourcing</t>
  </si>
  <si>
    <t>Mendapatkan repeat order</t>
  </si>
  <si>
    <t>Persentase repeat order? Ke PCH</t>
  </si>
  <si>
    <t>Perusahaan beralih ke energi terbarukan</t>
  </si>
  <si>
    <t>Perusahaan mempunyai program CSR pemberdayaan masyarakat</t>
  </si>
  <si>
    <t>CINT belum menggunakan energi terbarukan</t>
  </si>
  <si>
    <t>Raw material unmoving tinggi</t>
  </si>
  <si>
    <t>Improvement dan inovasi berkelanjutan</t>
  </si>
  <si>
    <t xml:space="preserve">Pengembangan produk jadi dari fix menjadi knockdown </t>
  </si>
  <si>
    <t>Efisiensi biaya pengiriman dan packaging</t>
  </si>
  <si>
    <t>Tingkat kegagalan G2 0,32% diatas target</t>
  </si>
  <si>
    <t>Tingkat kegagalan G2 0,2%</t>
  </si>
  <si>
    <t>Tidak ada komplain dan sanksi</t>
  </si>
  <si>
    <t>CINT berpartisipasi dalam Program Tanggung Jawab Sosial Perusahaan (CSR)</t>
  </si>
  <si>
    <t>Kenaikan nilai saham</t>
  </si>
  <si>
    <t>Kenaikan nilai saham tidak signifikan</t>
  </si>
  <si>
    <t>Perbaikan sarana olahraga</t>
  </si>
  <si>
    <t>Sarana olahraga kurang memadai</t>
  </si>
  <si>
    <t>Peningkatan penjualan</t>
  </si>
  <si>
    <t>Material unmoving 0 rupiah</t>
  </si>
  <si>
    <t>36% level asisten manager keatas sudah berusia diatas 50 tahun</t>
  </si>
  <si>
    <t>Percepatan kaderisasi dan transfer of skill level managerial</t>
  </si>
  <si>
    <t>CINT belum mempunyai program CSR pemberdayaan masyarakat</t>
  </si>
  <si>
    <t>Sum of Bobot</t>
  </si>
  <si>
    <t>Sum of Rating</t>
  </si>
  <si>
    <t>Sum of BOBOT</t>
  </si>
  <si>
    <t>Sum of RATING</t>
  </si>
  <si>
    <t>Implementasi Kaizen dan Inovasi secara konsisten dan berkelanjutan</t>
  </si>
  <si>
    <t>Peningkatan penjualan lokal</t>
  </si>
  <si>
    <t>Peningkatan penjualan eksport</t>
  </si>
  <si>
    <t>Mempertahankan kualitas produk</t>
  </si>
  <si>
    <t>Peningkatan penjualan melalui pemasaran digital</t>
  </si>
  <si>
    <t>1,2,3</t>
  </si>
  <si>
    <t>Company branding melalui media relation</t>
  </si>
  <si>
    <t>Optimalisasi Sistem Manajemen ISO terintegrasi</t>
  </si>
  <si>
    <t>4,5,8</t>
  </si>
  <si>
    <t>Optimalisasi program autonomus maintenance</t>
  </si>
  <si>
    <t>Modernisasi dan revitalisasi sarana dan prasarana</t>
  </si>
  <si>
    <t>Perencanaan produksi internal dan subcon yang baik</t>
  </si>
  <si>
    <t xml:space="preserve">Optimalisasi penjualan melalui strategi pemasaran digital </t>
  </si>
  <si>
    <t>Meningkatkan profitabilitas melalui efisiensi dan efektivitas permesinan</t>
  </si>
  <si>
    <t>Mencari alternative vendor dengan harga kompetitif &amp; kualitas baik</t>
  </si>
  <si>
    <t>Penyusunan program pengembangan karyawan</t>
  </si>
  <si>
    <t xml:space="preserve">Implementasi autonomus maintenance </t>
  </si>
  <si>
    <t>Penyusunan program pengembangan karyawan dan percepatan transfer of skill</t>
  </si>
  <si>
    <t>Peningkatan penjualan produk lokal dan eksport</t>
  </si>
  <si>
    <t>Meningkatkan kepatuhan dan awareness terhadap peraturan K3 &amp; Lingkungan</t>
  </si>
  <si>
    <t>Peningkatan Gross Profit</t>
  </si>
  <si>
    <t>Meningkatkan efisiensi dan efektivitas permesinan</t>
  </si>
  <si>
    <t>Membangun program digitalisasi</t>
  </si>
  <si>
    <t>Meningkatkan program ESG</t>
  </si>
  <si>
    <t>2,3,7</t>
  </si>
  <si>
    <t>Pengembangan produk alkes yang dapat diserap pasar</t>
  </si>
  <si>
    <t>Zero Accident</t>
  </si>
  <si>
    <r>
      <t>Mengendalikan</t>
    </r>
    <r>
      <rPr>
        <i/>
        <sz val="11"/>
        <color theme="1"/>
        <rFont val="Calibri"/>
        <family val="2"/>
        <scheme val="minor"/>
      </rPr>
      <t xml:space="preserve"> interest expense</t>
    </r>
  </si>
  <si>
    <t>Meningkatkan inventory management</t>
  </si>
  <si>
    <t>Meningkatkan efektivitas sistem manajemen terintegrasi</t>
  </si>
  <si>
    <t>Meningkatkan efektivitas SAP</t>
  </si>
  <si>
    <t>WO11</t>
  </si>
  <si>
    <t>5,7,8</t>
  </si>
  <si>
    <t xml:space="preserve">Penetapan strategi harga jual </t>
  </si>
  <si>
    <t>ST9</t>
  </si>
  <si>
    <t>4, 5</t>
  </si>
  <si>
    <t>Pengembangan produk yang kompetitif dan dapat diterima pasar</t>
  </si>
  <si>
    <t>Peningkatan efektivitas SAP</t>
  </si>
  <si>
    <t>ST10</t>
  </si>
  <si>
    <t>6, 10</t>
  </si>
  <si>
    <t>2,5,8</t>
  </si>
  <si>
    <t>Mengendalikan interest expense</t>
  </si>
  <si>
    <t>WT11</t>
  </si>
  <si>
    <t>WT12</t>
  </si>
  <si>
    <t>WT13</t>
  </si>
  <si>
    <t>WO12</t>
  </si>
  <si>
    <t>WO13</t>
  </si>
  <si>
    <t>Mencari alternatif vendor lokal yang kompetitif dan sesuai persyaratan</t>
  </si>
  <si>
    <t>Compile strategi --&gt; Strategi inisiatif BSC --&gt; diklompokan sesuai perspektif--&gt; tetapkan KPI &amp; target relate ke budget--&gt; Management contribution</t>
  </si>
  <si>
    <t>KPI</t>
  </si>
  <si>
    <t>Dir. Contribute</t>
  </si>
  <si>
    <t>Dept Contribute</t>
  </si>
  <si>
    <t>Strategi Inisiatif</t>
  </si>
  <si>
    <t>Strategi SWOT</t>
  </si>
  <si>
    <t>Objective</t>
  </si>
  <si>
    <t>Profitable Growth</t>
  </si>
  <si>
    <t>Organization Capital</t>
  </si>
  <si>
    <t>System Capital</t>
  </si>
  <si>
    <t>Digitalization System</t>
  </si>
  <si>
    <t>Sales Growth</t>
  </si>
  <si>
    <t>Productivity</t>
  </si>
  <si>
    <t>ESG</t>
  </si>
  <si>
    <t>Innovative Product</t>
  </si>
  <si>
    <t>Total Sales</t>
  </si>
  <si>
    <t>1. Meningkatkan kinerja penjualan Eksport</t>
  </si>
  <si>
    <t>1. Mengendalikan AR dan AP
2. Positive cash from operation</t>
  </si>
  <si>
    <t>1. Peningkatan penjualan melalui e-commerse</t>
  </si>
  <si>
    <t>2. Menetapkan Program Survey Kepuasan Pelanggan</t>
  </si>
  <si>
    <t>1. Pembuatan media relation melalui website internal maupun kerjasama dengan media</t>
  </si>
  <si>
    <t>2. Meningkatkan kinerja penjualan Alkes</t>
  </si>
  <si>
    <t>1. Meningkatkan kinerja penjualan DH</t>
  </si>
  <si>
    <t>2. Pengelolaan seluruh kegiatan operasional yang lebih efisien &amp; efektif</t>
  </si>
  <si>
    <t xml:space="preserve">3. Mencari alternative vendor dengan harga kompetitif &amp; kualitas </t>
  </si>
  <si>
    <t>1. Meningkatkan akurasi perencanaan produksi</t>
  </si>
  <si>
    <t xml:space="preserve">2. Peningkatan Organic Traffic </t>
  </si>
  <si>
    <t>3. Peningkatan Keyword Rankings</t>
  </si>
  <si>
    <t>2. Meningkatkan produktivitas</t>
  </si>
  <si>
    <t>3. Meningkatkan akurasi perencanaan produksi</t>
  </si>
  <si>
    <t>4. Meningkatkan kerjasama dengan vendor</t>
  </si>
  <si>
    <t>1. Meningkatkan otomasi &amp; digitalisasi dalam kegiatan operasional</t>
  </si>
  <si>
    <t>1. Konsisten dalam pelaksanaan program audit mutu dan Operasional
2. Memastikan penyelesaian temuan audit dilakukan sesuai jadwal</t>
  </si>
  <si>
    <t>1. Inovasi dan efisiensi penggunaan sumber energi
2. Konsistensi pengelolaan lingkungan</t>
  </si>
  <si>
    <t>1. Meningkatkan sinergi dan kolaborasi R&amp;D dgn Sales Marketing
2. Melakukan riset pasar
3. Menetapkan program pengembangan produk</t>
  </si>
  <si>
    <t xml:space="preserve">1. </t>
  </si>
  <si>
    <t>1. Memastikan Autonomus Maintenance dilaksanakan</t>
  </si>
  <si>
    <t>1. Memanfaatkan penggunaan inventory slow dan unmoving
2. Meningkatkan akurasi perencanaan produksi
3. Proses pengadaan sesuai dengan perencanaan</t>
  </si>
  <si>
    <t>1. Update HIRADC
2. Meningkatkan kepatuhan terhadap penggunaan APD</t>
  </si>
  <si>
    <t>1. Memastikan improvement dan inovasi tetap berjalan</t>
  </si>
  <si>
    <t>1. Update peraturan perundangan yang berlaku
2. Membuat program pengawasan pemenuhan peraturan perundangan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</si>
</sst>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&quot;&gt; &quot;0%"/>
    <numFmt numFmtId="167" formatCode="&quot;Max &quot;0%"/>
    <numFmt numFmtId="168" formatCode="&quot;&lt;= &quot;0%"/>
    <numFmt numFmtId="169" formatCode="&quot;&gt;= &quot;0%"/>
    <numFmt numFmtId="170" formatCode="&quot;&lt; &quot;0%"/>
    <numFmt numFmtId="171" formatCode="&quot;Finance - How should we look to our shareholders? (&quot;General&quot;%)&quot;"/>
    <numFmt numFmtId="172" formatCode="#,##0.000_);\(#,##0.000\)"/>
    <numFmt numFmtId="173" formatCode="0.000"/>
    <numFmt numFmtId="174" formatCode="&quot;Finance - How should we look to our shareholders? - &quot;0%"/>
    <numFmt numFmtId="175" formatCode="0.0000"/>
    <numFmt numFmtId="176" formatCode="_(* #,##0_);_(* \(#,##0\);_(* &quot;-&quot;??_);_(@_)"/>
    <numFmt numFmtId="177" formatCode="&quot;Total Perspectives Weight - &quot;0%"/>
    <numFmt numFmtId="178" formatCode="_(* #,##0.000_);_(* \(#,##0.000\);_(* &quot;-&quot;??_);_(@_)"/>
  </numFmts>
  <fonts count="7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999999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15">
    <xf numFmtId="0" fontId="0" fillId="0" borderId="0"/>
    <xf numFmtId="0" fontId="27" fillId="0" borderId="0"/>
    <xf numFmtId="164" fontId="51" fillId="0" borderId="0" applyFont="0" applyFill="0" applyBorder="0" applyAlignment="0" applyProtection="0"/>
    <xf numFmtId="0" fontId="13" fillId="0" borderId="0"/>
    <xf numFmtId="0" fontId="12" fillId="0" borderId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932">
    <xf numFmtId="0" fontId="0" fillId="0" borderId="0" xfId="0"/>
    <xf numFmtId="0" fontId="35" fillId="3" borderId="1" xfId="0" applyFont="1" applyFill="1" applyBorder="1" applyAlignment="1">
      <alignment vertical="center"/>
    </xf>
    <xf numFmtId="0" fontId="35" fillId="3" borderId="2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/>
    </xf>
    <xf numFmtId="0" fontId="35" fillId="3" borderId="5" xfId="0" applyFont="1" applyFill="1" applyBorder="1"/>
    <xf numFmtId="0" fontId="35" fillId="0" borderId="0" xfId="0" applyFont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 vertical="top"/>
    </xf>
    <xf numFmtId="0" fontId="34" fillId="2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3" borderId="1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0" fontId="35" fillId="3" borderId="4" xfId="0" applyFont="1" applyFill="1" applyBorder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/>
    </xf>
    <xf numFmtId="0" fontId="34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top"/>
    </xf>
    <xf numFmtId="0" fontId="34" fillId="0" borderId="9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top" wrapText="1"/>
    </xf>
    <xf numFmtId="0" fontId="34" fillId="2" borderId="6" xfId="0" applyFont="1" applyFill="1" applyBorder="1" applyAlignment="1">
      <alignment horizontal="left" vertical="top"/>
    </xf>
    <xf numFmtId="0" fontId="34" fillId="2" borderId="6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center" vertical="top"/>
    </xf>
    <xf numFmtId="0" fontId="34" fillId="0" borderId="6" xfId="0" applyFont="1" applyBorder="1"/>
    <xf numFmtId="0" fontId="0" fillId="2" borderId="6" xfId="0" applyFill="1" applyBorder="1"/>
    <xf numFmtId="0" fontId="34" fillId="0" borderId="6" xfId="0" applyFont="1" applyBorder="1" applyAlignment="1">
      <alignment horizontal="left" vertical="top"/>
    </xf>
    <xf numFmtId="0" fontId="34" fillId="0" borderId="6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left" vertical="top"/>
    </xf>
    <xf numFmtId="0" fontId="36" fillId="0" borderId="6" xfId="0" applyFont="1" applyBorder="1" applyAlignment="1">
      <alignment horizontal="left" vertical="top"/>
    </xf>
    <xf numFmtId="0" fontId="36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/>
    </xf>
    <xf numFmtId="0" fontId="33" fillId="2" borderId="6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top"/>
    </xf>
    <xf numFmtId="0" fontId="33" fillId="0" borderId="6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top"/>
    </xf>
    <xf numFmtId="0" fontId="33" fillId="2" borderId="6" xfId="0" applyFont="1" applyFill="1" applyBorder="1" applyAlignment="1">
      <alignment horizontal="left" vertical="top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left" vertical="top"/>
    </xf>
    <xf numFmtId="0" fontId="34" fillId="2" borderId="9" xfId="0" applyFont="1" applyFill="1" applyBorder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3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33" fillId="2" borderId="9" xfId="0" applyFont="1" applyFill="1" applyBorder="1" applyAlignment="1">
      <alignment horizontal="left" vertical="top"/>
    </xf>
    <xf numFmtId="0" fontId="34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32" fillId="2" borderId="1" xfId="0" applyFont="1" applyFill="1" applyBorder="1" applyAlignment="1">
      <alignment horizontal="left" vertical="top"/>
    </xf>
    <xf numFmtId="0" fontId="32" fillId="2" borderId="6" xfId="0" applyFont="1" applyFill="1" applyBorder="1" applyAlignment="1">
      <alignment horizontal="left" vertical="top"/>
    </xf>
    <xf numFmtId="0" fontId="32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31" fillId="0" borderId="6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35" fillId="3" borderId="3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29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0" fillId="2" borderId="9" xfId="0" applyFont="1" applyFill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0" fontId="29" fillId="2" borderId="0" xfId="0" applyFont="1" applyFill="1" applyAlignment="1">
      <alignment horizontal="center" vertical="center"/>
    </xf>
    <xf numFmtId="0" fontId="0" fillId="2" borderId="0" xfId="0" applyFill="1"/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29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/>
    <xf numFmtId="0" fontId="35" fillId="3" borderId="1" xfId="0" applyFont="1" applyFill="1" applyBorder="1" applyAlignment="1">
      <alignment vertical="center" wrapText="1"/>
    </xf>
    <xf numFmtId="0" fontId="35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29" fillId="2" borderId="9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29" fillId="0" borderId="3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36" fillId="2" borderId="3" xfId="0" applyFont="1" applyFill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0" fontId="36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36" fillId="0" borderId="10" xfId="0" applyFont="1" applyBorder="1" applyAlignment="1">
      <alignment horizontal="left" vertical="top" wrapText="1"/>
    </xf>
    <xf numFmtId="0" fontId="35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5" fillId="0" borderId="3" xfId="0" applyFont="1" applyBorder="1" applyAlignment="1">
      <alignment horizontal="left" vertical="top"/>
    </xf>
    <xf numFmtId="0" fontId="29" fillId="2" borderId="3" xfId="0" applyFont="1" applyFill="1" applyBorder="1" applyAlignment="1">
      <alignment horizontal="left" vertical="top" wrapText="1"/>
    </xf>
    <xf numFmtId="0" fontId="29" fillId="2" borderId="3" xfId="0" applyFont="1" applyFill="1" applyBorder="1" applyAlignment="1">
      <alignment horizontal="left" vertical="top"/>
    </xf>
    <xf numFmtId="0" fontId="35" fillId="2" borderId="9" xfId="0" applyFont="1" applyFill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/>
    </xf>
    <xf numFmtId="0" fontId="29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9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35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9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3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9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0" fillId="0" borderId="6" xfId="0" applyBorder="1"/>
    <xf numFmtId="0" fontId="38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left" vertical="top"/>
    </xf>
    <xf numFmtId="0" fontId="28" fillId="2" borderId="9" xfId="0" applyFont="1" applyFill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9" fillId="2" borderId="9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2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top"/>
    </xf>
    <xf numFmtId="0" fontId="27" fillId="2" borderId="9" xfId="0" applyFont="1" applyFill="1" applyBorder="1" applyAlignment="1">
      <alignment horizontal="left" vertical="top"/>
    </xf>
    <xf numFmtId="0" fontId="27" fillId="0" borderId="0" xfId="1"/>
    <xf numFmtId="0" fontId="27" fillId="0" borderId="0" xfId="1" applyAlignment="1">
      <alignment horizontal="center"/>
    </xf>
    <xf numFmtId="0" fontId="27" fillId="0" borderId="0" xfId="1" applyAlignment="1">
      <alignment vertical="top"/>
    </xf>
    <xf numFmtId="0" fontId="41" fillId="0" borderId="0" xfId="0" applyFont="1"/>
    <xf numFmtId="0" fontId="27" fillId="0" borderId="0" xfId="0" applyFont="1"/>
    <xf numFmtId="0" fontId="42" fillId="0" borderId="0" xfId="0" applyFont="1"/>
    <xf numFmtId="0" fontId="3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4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pivotButton="1"/>
    <xf numFmtId="0" fontId="27" fillId="2" borderId="1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5" fillId="3" borderId="8" xfId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0" fontId="35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45" fillId="0" borderId="14" xfId="0" applyFont="1" applyBorder="1"/>
    <xf numFmtId="0" fontId="0" fillId="0" borderId="14" xfId="0" applyBorder="1"/>
    <xf numFmtId="0" fontId="47" fillId="0" borderId="14" xfId="0" applyFont="1" applyBorder="1"/>
    <xf numFmtId="0" fontId="48" fillId="0" borderId="14" xfId="0" applyFont="1" applyBorder="1" applyAlignment="1">
      <alignment horizontal="right" vertical="center"/>
    </xf>
    <xf numFmtId="0" fontId="48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49" fillId="2" borderId="19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left" vertical="center"/>
    </xf>
    <xf numFmtId="0" fontId="50" fillId="2" borderId="1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right" vertical="center"/>
    </xf>
    <xf numFmtId="0" fontId="44" fillId="0" borderId="20" xfId="0" applyFont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right" vertical="top"/>
    </xf>
    <xf numFmtId="0" fontId="35" fillId="2" borderId="0" xfId="0" applyFont="1" applyFill="1" applyAlignment="1">
      <alignment vertical="top" wrapText="1"/>
    </xf>
    <xf numFmtId="0" fontId="35" fillId="0" borderId="0" xfId="0" applyFont="1" applyAlignment="1">
      <alignment vertical="top"/>
    </xf>
    <xf numFmtId="0" fontId="35" fillId="0" borderId="12" xfId="0" applyFont="1" applyBorder="1" applyAlignment="1">
      <alignment vertical="top" wrapText="1"/>
    </xf>
    <xf numFmtId="0" fontId="35" fillId="6" borderId="21" xfId="0" applyFont="1" applyFill="1" applyBorder="1" applyAlignment="1">
      <alignment horizontal="center" vertical="top"/>
    </xf>
    <xf numFmtId="0" fontId="35" fillId="7" borderId="21" xfId="0" applyFont="1" applyFill="1" applyBorder="1" applyAlignment="1">
      <alignment horizontal="center" vertical="top"/>
    </xf>
    <xf numFmtId="0" fontId="35" fillId="4" borderId="21" xfId="0" applyFont="1" applyFill="1" applyBorder="1" applyAlignment="1">
      <alignment horizontal="center" vertical="top"/>
    </xf>
    <xf numFmtId="0" fontId="26" fillId="5" borderId="9" xfId="0" applyFont="1" applyFill="1" applyBorder="1" applyAlignment="1">
      <alignment horizontal="center" vertical="top" wrapText="1"/>
    </xf>
    <xf numFmtId="0" fontId="26" fillId="7" borderId="8" xfId="0" applyFont="1" applyFill="1" applyBorder="1" applyAlignment="1">
      <alignment horizontal="center" vertical="top" wrapText="1"/>
    </xf>
    <xf numFmtId="0" fontId="26" fillId="4" borderId="23" xfId="0" applyFont="1" applyFill="1" applyBorder="1" applyAlignment="1">
      <alignment horizontal="center" vertical="top"/>
    </xf>
    <xf numFmtId="0" fontId="26" fillId="5" borderId="8" xfId="0" applyFont="1" applyFill="1" applyBorder="1" applyAlignment="1">
      <alignment horizontal="center" vertical="top" wrapText="1"/>
    </xf>
    <xf numFmtId="0" fontId="26" fillId="6" borderId="10" xfId="0" applyFont="1" applyFill="1" applyBorder="1" applyAlignment="1">
      <alignment horizontal="center" vertical="top" wrapText="1"/>
    </xf>
    <xf numFmtId="0" fontId="26" fillId="6" borderId="8" xfId="0" applyFont="1" applyFill="1" applyBorder="1" applyAlignment="1">
      <alignment horizontal="center" vertical="top" wrapText="1"/>
    </xf>
    <xf numFmtId="0" fontId="26" fillId="2" borderId="0" xfId="0" applyFont="1" applyFill="1" applyAlignment="1">
      <alignment horizontal="right" vertical="top"/>
    </xf>
    <xf numFmtId="0" fontId="26" fillId="2" borderId="0" xfId="0" applyFont="1" applyFill="1" applyAlignment="1">
      <alignment vertical="top"/>
    </xf>
    <xf numFmtId="0" fontId="35" fillId="0" borderId="12" xfId="0" applyFont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24" fillId="4" borderId="23" xfId="0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/>
    <xf numFmtId="0" fontId="35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35" fillId="3" borderId="1" xfId="0" applyFont="1" applyFill="1" applyBorder="1" applyAlignment="1">
      <alignment vertical="top"/>
    </xf>
    <xf numFmtId="0" fontId="35" fillId="0" borderId="0" xfId="0" applyFont="1" applyAlignment="1">
      <alignment horizontal="center" vertical="top"/>
    </xf>
    <xf numFmtId="0" fontId="23" fillId="2" borderId="0" xfId="0" applyFont="1" applyFill="1" applyAlignment="1">
      <alignment wrapText="1"/>
    </xf>
    <xf numFmtId="0" fontId="3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1" fillId="5" borderId="8" xfId="0" applyFont="1" applyFill="1" applyBorder="1" applyAlignment="1">
      <alignment horizontal="center" vertical="top" wrapText="1"/>
    </xf>
    <xf numFmtId="0" fontId="25" fillId="5" borderId="18" xfId="0" applyFont="1" applyFill="1" applyBorder="1" applyAlignment="1">
      <alignment horizontal="center" vertical="top" wrapText="1"/>
    </xf>
    <xf numFmtId="0" fontId="26" fillId="7" borderId="9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6" borderId="10" xfId="0" applyFont="1" applyFill="1" applyBorder="1" applyAlignment="1">
      <alignment horizontal="center" vertical="top" wrapText="1"/>
    </xf>
    <xf numFmtId="0" fontId="18" fillId="7" borderId="8" xfId="0" applyFont="1" applyFill="1" applyBorder="1" applyAlignment="1">
      <alignment horizontal="center" vertical="top" wrapText="1"/>
    </xf>
    <xf numFmtId="0" fontId="17" fillId="5" borderId="26" xfId="0" applyFont="1" applyFill="1" applyBorder="1" applyAlignment="1">
      <alignment horizontal="center" vertical="top" wrapText="1"/>
    </xf>
    <xf numFmtId="0" fontId="17" fillId="5" borderId="8" xfId="0" applyFont="1" applyFill="1" applyBorder="1" applyAlignment="1">
      <alignment horizontal="center" vertical="top" wrapText="1"/>
    </xf>
    <xf numFmtId="0" fontId="17" fillId="7" borderId="8" xfId="0" applyFont="1" applyFill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/>
    </xf>
    <xf numFmtId="0" fontId="17" fillId="4" borderId="23" xfId="0" applyFont="1" applyFill="1" applyBorder="1" applyAlignment="1">
      <alignment horizontal="center" vertical="top"/>
    </xf>
    <xf numFmtId="0" fontId="17" fillId="4" borderId="23" xfId="0" applyFont="1" applyFill="1" applyBorder="1" applyAlignment="1">
      <alignment horizontal="center" vertical="top" wrapText="1"/>
    </xf>
    <xf numFmtId="0" fontId="39" fillId="2" borderId="0" xfId="0" applyFont="1" applyFill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 wrapText="1"/>
    </xf>
    <xf numFmtId="0" fontId="15" fillId="7" borderId="31" xfId="0" applyFont="1" applyFill="1" applyBorder="1" applyAlignment="1">
      <alignment vertical="top" wrapText="1"/>
    </xf>
    <xf numFmtId="0" fontId="35" fillId="6" borderId="9" xfId="0" applyFont="1" applyFill="1" applyBorder="1" applyAlignment="1">
      <alignment horizontal="center" vertical="top"/>
    </xf>
    <xf numFmtId="0" fontId="35" fillId="4" borderId="9" xfId="0" applyFont="1" applyFill="1" applyBorder="1" applyAlignment="1">
      <alignment horizontal="center" vertical="top"/>
    </xf>
    <xf numFmtId="0" fontId="17" fillId="7" borderId="34" xfId="0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35" fillId="3" borderId="9" xfId="0" applyFont="1" applyFill="1" applyBorder="1" applyAlignment="1">
      <alignment horizontal="center" vertical="center"/>
    </xf>
    <xf numFmtId="1" fontId="35" fillId="2" borderId="0" xfId="0" applyNumberFormat="1" applyFont="1" applyFill="1" applyAlignment="1">
      <alignment horizontal="center" vertical="center"/>
    </xf>
    <xf numFmtId="1" fontId="23" fillId="2" borderId="0" xfId="0" applyNumberFormat="1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" fontId="35" fillId="0" borderId="0" xfId="2" applyNumberFormat="1" applyFont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  <xf numFmtId="0" fontId="35" fillId="0" borderId="0" xfId="0" applyFont="1" applyAlignment="1">
      <alignment horizontal="center" wrapText="1"/>
    </xf>
    <xf numFmtId="0" fontId="26" fillId="0" borderId="28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26" fillId="0" borderId="39" xfId="0" applyFont="1" applyBorder="1" applyAlignment="1">
      <alignment vertical="top" wrapText="1"/>
    </xf>
    <xf numFmtId="0" fontId="21" fillId="7" borderId="40" xfId="0" applyFont="1" applyFill="1" applyBorder="1" applyAlignment="1">
      <alignment vertical="top" wrapText="1"/>
    </xf>
    <xf numFmtId="0" fontId="17" fillId="4" borderId="33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26" fillId="6" borderId="36" xfId="0" applyFont="1" applyFill="1" applyBorder="1" applyAlignment="1">
      <alignment horizontal="center" vertical="top" wrapText="1"/>
    </xf>
    <xf numFmtId="0" fontId="15" fillId="6" borderId="24" xfId="0" applyFont="1" applyFill="1" applyBorder="1" applyAlignment="1">
      <alignment horizontal="left" vertical="top" wrapText="1"/>
    </xf>
    <xf numFmtId="0" fontId="11" fillId="4" borderId="2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26" xfId="0" applyFont="1" applyFill="1" applyBorder="1" applyAlignment="1">
      <alignment horizontal="center" vertical="top" wrapText="1"/>
    </xf>
    <xf numFmtId="0" fontId="15" fillId="6" borderId="40" xfId="0" applyFont="1" applyFill="1" applyBorder="1" applyAlignment="1">
      <alignment horizontal="left" vertical="top" wrapText="1"/>
    </xf>
    <xf numFmtId="0" fontId="11" fillId="4" borderId="40" xfId="0" applyFont="1" applyFill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/>
    </xf>
    <xf numFmtId="0" fontId="26" fillId="0" borderId="29" xfId="0" applyFont="1" applyBorder="1" applyAlignment="1">
      <alignment horizontal="left" vertical="top" wrapText="1"/>
    </xf>
    <xf numFmtId="0" fontId="15" fillId="6" borderId="27" xfId="0" applyFont="1" applyFill="1" applyBorder="1" applyAlignment="1">
      <alignment horizontal="center" vertical="top" wrapText="1"/>
    </xf>
    <xf numFmtId="0" fontId="25" fillId="0" borderId="28" xfId="0" applyFont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top" wrapText="1"/>
    </xf>
    <xf numFmtId="0" fontId="26" fillId="0" borderId="28" xfId="0" applyFont="1" applyBorder="1" applyAlignment="1">
      <alignment horizontal="left" vertical="top" wrapText="1"/>
    </xf>
    <xf numFmtId="0" fontId="26" fillId="6" borderId="23" xfId="0" applyFont="1" applyFill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26" fillId="0" borderId="29" xfId="0" applyFont="1" applyBorder="1" applyAlignment="1">
      <alignment vertical="top" wrapText="1"/>
    </xf>
    <xf numFmtId="0" fontId="21" fillId="0" borderId="28" xfId="0" applyFont="1" applyBorder="1" applyAlignment="1">
      <alignment vertical="top" wrapText="1"/>
    </xf>
    <xf numFmtId="0" fontId="26" fillId="0" borderId="35" xfId="0" applyFont="1" applyBorder="1" applyAlignment="1">
      <alignment vertical="top" wrapText="1"/>
    </xf>
    <xf numFmtId="2" fontId="0" fillId="0" borderId="0" xfId="5" applyNumberFormat="1" applyFont="1"/>
    <xf numFmtId="0" fontId="0" fillId="0" borderId="0" xfId="0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5" fillId="5" borderId="1" xfId="0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15" fillId="0" borderId="42" xfId="0" applyFont="1" applyBorder="1" applyAlignment="1">
      <alignment vertical="top" wrapText="1"/>
    </xf>
    <xf numFmtId="0" fontId="17" fillId="7" borderId="33" xfId="0" applyFont="1" applyFill="1" applyBorder="1" applyAlignment="1">
      <alignment horizontal="center" vertical="top" wrapText="1"/>
    </xf>
    <xf numFmtId="0" fontId="25" fillId="5" borderId="12" xfId="0" applyFont="1" applyFill="1" applyBorder="1" applyAlignment="1">
      <alignment horizontal="center" vertical="top" wrapText="1"/>
    </xf>
    <xf numFmtId="0" fontId="26" fillId="7" borderId="37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6" borderId="31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vertical="top" wrapText="1"/>
    </xf>
    <xf numFmtId="43" fontId="0" fillId="0" borderId="0" xfId="5" applyFont="1"/>
    <xf numFmtId="0" fontId="35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4" fillId="6" borderId="31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center" vertical="top" wrapText="1"/>
    </xf>
    <xf numFmtId="0" fontId="35" fillId="0" borderId="0" xfId="1" applyFont="1" applyAlignment="1">
      <alignment horizontal="center"/>
    </xf>
    <xf numFmtId="0" fontId="35" fillId="0" borderId="0" xfId="1" applyFont="1"/>
    <xf numFmtId="0" fontId="35" fillId="0" borderId="0" xfId="1" applyFont="1" applyAlignment="1">
      <alignment horizontal="right"/>
    </xf>
    <xf numFmtId="2" fontId="35" fillId="0" borderId="0" xfId="5" applyNumberFormat="1" applyFont="1" applyFill="1" applyBorder="1" applyAlignment="1">
      <alignment horizontal="center" vertical="top"/>
    </xf>
    <xf numFmtId="0" fontId="54" fillId="3" borderId="8" xfId="0" applyFont="1" applyFill="1" applyBorder="1"/>
    <xf numFmtId="0" fontId="55" fillId="0" borderId="0" xfId="1" applyFont="1"/>
    <xf numFmtId="0" fontId="56" fillId="0" borderId="0" xfId="1" applyFont="1"/>
    <xf numFmtId="0" fontId="27" fillId="0" borderId="6" xfId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4" borderId="31" xfId="0" applyFont="1" applyFill="1" applyBorder="1" applyAlignment="1">
      <alignment vertical="top" wrapText="1"/>
    </xf>
    <xf numFmtId="0" fontId="54" fillId="3" borderId="51" xfId="0" applyFont="1" applyFill="1" applyBorder="1"/>
    <xf numFmtId="0" fontId="54" fillId="3" borderId="8" xfId="0" applyFont="1" applyFill="1" applyBorder="1" applyAlignment="1">
      <alignment horizontal="center"/>
    </xf>
    <xf numFmtId="0" fontId="0" fillId="0" borderId="43" xfId="0" applyBorder="1"/>
    <xf numFmtId="0" fontId="2" fillId="5" borderId="28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2" fillId="5" borderId="40" xfId="0" applyFont="1" applyFill="1" applyBorder="1" applyAlignment="1">
      <alignment vertical="top" wrapText="1"/>
    </xf>
    <xf numFmtId="0" fontId="2" fillId="7" borderId="31" xfId="0" applyFont="1" applyFill="1" applyBorder="1" applyAlignment="1">
      <alignment vertical="top" wrapText="1"/>
    </xf>
    <xf numFmtId="165" fontId="56" fillId="0" borderId="0" xfId="8" applyNumberFormat="1" applyFont="1" applyAlignment="1" applyProtection="1">
      <alignment horizontal="center" vertical="center"/>
    </xf>
    <xf numFmtId="169" fontId="61" fillId="11" borderId="8" xfId="8" applyNumberFormat="1" applyFont="1" applyFill="1" applyBorder="1" applyAlignment="1" applyProtection="1">
      <alignment horizontal="center" vertical="center"/>
    </xf>
    <xf numFmtId="170" fontId="61" fillId="11" borderId="8" xfId="8" applyNumberFormat="1" applyFont="1" applyFill="1" applyBorder="1" applyAlignment="1" applyProtection="1">
      <alignment horizontal="center" vertical="center"/>
    </xf>
    <xf numFmtId="165" fontId="55" fillId="0" borderId="0" xfId="8" applyNumberFormat="1" applyFont="1" applyFill="1" applyAlignment="1" applyProtection="1">
      <alignment horizontal="center" vertical="center"/>
    </xf>
    <xf numFmtId="9" fontId="56" fillId="0" borderId="58" xfId="8" applyFont="1" applyBorder="1" applyAlignment="1" applyProtection="1">
      <alignment horizontal="center" vertical="center"/>
    </xf>
    <xf numFmtId="9" fontId="55" fillId="0" borderId="58" xfId="8" applyFont="1" applyBorder="1" applyAlignment="1" applyProtection="1">
      <alignment horizontal="center" vertical="center"/>
    </xf>
    <xf numFmtId="9" fontId="56" fillId="0" borderId="0" xfId="8" applyFont="1" applyAlignment="1" applyProtection="1">
      <alignment horizontal="center" vertical="center"/>
    </xf>
    <xf numFmtId="9" fontId="56" fillId="0" borderId="60" xfId="8" applyFont="1" applyBorder="1" applyAlignment="1" applyProtection="1">
      <alignment horizontal="center" vertical="center"/>
    </xf>
    <xf numFmtId="2" fontId="56" fillId="0" borderId="60" xfId="8" applyNumberFormat="1" applyFont="1" applyBorder="1" applyAlignment="1">
      <alignment horizontal="center" vertical="center"/>
    </xf>
    <xf numFmtId="165" fontId="56" fillId="0" borderId="60" xfId="8" applyNumberFormat="1" applyFont="1" applyBorder="1" applyAlignment="1">
      <alignment horizontal="center" vertical="center"/>
    </xf>
    <xf numFmtId="9" fontId="56" fillId="0" borderId="59" xfId="8" applyFont="1" applyBorder="1" applyAlignment="1" applyProtection="1">
      <alignment horizontal="center" vertical="center"/>
    </xf>
    <xf numFmtId="9" fontId="55" fillId="7" borderId="5" xfId="8" applyFont="1" applyFill="1" applyBorder="1" applyAlignment="1" applyProtection="1">
      <alignment horizontal="center"/>
    </xf>
    <xf numFmtId="0" fontId="55" fillId="7" borderId="5" xfId="8" applyNumberFormat="1" applyFont="1" applyFill="1" applyBorder="1" applyAlignment="1" applyProtection="1"/>
    <xf numFmtId="9" fontId="56" fillId="0" borderId="58" xfId="8" applyFont="1" applyBorder="1" applyAlignment="1">
      <alignment horizontal="center" vertical="center"/>
    </xf>
    <xf numFmtId="1" fontId="56" fillId="0" borderId="58" xfId="9" applyNumberFormat="1" applyFont="1" applyBorder="1" applyAlignment="1">
      <alignment horizontal="center" vertical="center"/>
    </xf>
    <xf numFmtId="9" fontId="56" fillId="0" borderId="60" xfId="8" applyFont="1" applyBorder="1" applyAlignment="1">
      <alignment horizontal="center" vertical="center"/>
    </xf>
    <xf numFmtId="9" fontId="56" fillId="0" borderId="59" xfId="8" applyFont="1" applyBorder="1" applyAlignment="1">
      <alignment horizontal="center" vertical="center"/>
    </xf>
    <xf numFmtId="9" fontId="55" fillId="5" borderId="5" xfId="8" applyFont="1" applyFill="1" applyBorder="1" applyAlignment="1" applyProtection="1">
      <alignment horizontal="center"/>
    </xf>
    <xf numFmtId="0" fontId="55" fillId="5" borderId="5" xfId="8" applyNumberFormat="1" applyFont="1" applyFill="1" applyBorder="1" applyAlignment="1" applyProtection="1"/>
    <xf numFmtId="9" fontId="55" fillId="13" borderId="5" xfId="8" applyFont="1" applyFill="1" applyBorder="1" applyAlignment="1" applyProtection="1">
      <alignment horizontal="center"/>
    </xf>
    <xf numFmtId="0" fontId="55" fillId="13" borderId="5" xfId="8" applyNumberFormat="1" applyFont="1" applyFill="1" applyBorder="1" applyAlignment="1" applyProtection="1"/>
    <xf numFmtId="9" fontId="55" fillId="14" borderId="11" xfId="8" applyFont="1" applyFill="1" applyBorder="1" applyAlignment="1" applyProtection="1">
      <alignment horizontal="center"/>
    </xf>
    <xf numFmtId="0" fontId="55" fillId="14" borderId="11" xfId="8" applyNumberFormat="1" applyFont="1" applyFill="1" applyBorder="1" applyAlignment="1" applyProtection="1"/>
    <xf numFmtId="165" fontId="55" fillId="14" borderId="61" xfId="8" applyNumberFormat="1" applyFont="1" applyFill="1" applyBorder="1" applyAlignment="1" applyProtection="1">
      <alignment horizontal="center" vertical="center"/>
    </xf>
    <xf numFmtId="43" fontId="56" fillId="0" borderId="0" xfId="9" applyFont="1" applyAlignment="1" applyProtection="1">
      <alignment vertical="center"/>
    </xf>
    <xf numFmtId="177" fontId="61" fillId="12" borderId="52" xfId="8" applyNumberFormat="1" applyFont="1" applyFill="1" applyBorder="1" applyAlignment="1" applyProtection="1">
      <alignment vertical="center"/>
    </xf>
    <xf numFmtId="9" fontId="61" fillId="12" borderId="62" xfId="8" applyFont="1" applyFill="1" applyBorder="1" applyAlignment="1" applyProtection="1">
      <alignment horizontal="center" vertical="center"/>
    </xf>
    <xf numFmtId="0" fontId="61" fillId="12" borderId="62" xfId="9" applyNumberFormat="1" applyFont="1" applyFill="1" applyBorder="1" applyAlignment="1" applyProtection="1">
      <alignment vertical="center"/>
    </xf>
    <xf numFmtId="165" fontId="61" fillId="12" borderId="56" xfId="8" applyNumberFormat="1" applyFont="1" applyFill="1" applyBorder="1" applyAlignment="1" applyProtection="1">
      <alignment horizontal="center" vertical="center"/>
    </xf>
    <xf numFmtId="43" fontId="56" fillId="0" borderId="0" xfId="9" applyFont="1" applyAlignment="1" applyProtection="1">
      <alignment horizontal="center" vertical="center"/>
    </xf>
    <xf numFmtId="43" fontId="56" fillId="0" borderId="0" xfId="9" applyFont="1" applyProtection="1"/>
    <xf numFmtId="43" fontId="55" fillId="0" borderId="64" xfId="9" applyFont="1" applyBorder="1" applyAlignment="1" applyProtection="1"/>
    <xf numFmtId="43" fontId="55" fillId="0" borderId="64" xfId="9" applyFont="1" applyBorder="1" applyAlignment="1" applyProtection="1">
      <alignment horizontal="center"/>
    </xf>
    <xf numFmtId="9" fontId="55" fillId="0" borderId="64" xfId="8" applyFont="1" applyBorder="1" applyAlignment="1" applyProtection="1"/>
    <xf numFmtId="0" fontId="55" fillId="0" borderId="65" xfId="9" applyNumberFormat="1" applyFont="1" applyBorder="1" applyAlignment="1" applyProtection="1"/>
    <xf numFmtId="9" fontId="61" fillId="12" borderId="66" xfId="8" applyFont="1" applyFill="1" applyBorder="1" applyAlignment="1" applyProtection="1">
      <alignment horizontal="center" vertical="center"/>
    </xf>
    <xf numFmtId="9" fontId="55" fillId="0" borderId="68" xfId="8" applyFont="1" applyBorder="1" applyAlignment="1" applyProtection="1">
      <alignment horizontal="center" vertical="center"/>
    </xf>
    <xf numFmtId="165" fontId="56" fillId="2" borderId="69" xfId="8" applyNumberFormat="1" applyFont="1" applyFill="1" applyBorder="1" applyAlignment="1" applyProtection="1">
      <alignment horizontal="center" vertical="center"/>
    </xf>
    <xf numFmtId="9" fontId="56" fillId="0" borderId="71" xfId="8" applyFont="1" applyBorder="1" applyAlignment="1" applyProtection="1">
      <alignment horizontal="left" vertical="top"/>
    </xf>
    <xf numFmtId="9" fontId="55" fillId="0" borderId="71" xfId="8" applyFont="1" applyBorder="1" applyAlignment="1" applyProtection="1">
      <alignment horizontal="center" vertical="center"/>
    </xf>
    <xf numFmtId="165" fontId="56" fillId="2" borderId="72" xfId="8" applyNumberFormat="1" applyFont="1" applyFill="1" applyBorder="1" applyAlignment="1" applyProtection="1">
      <alignment horizontal="center" vertical="center"/>
    </xf>
    <xf numFmtId="9" fontId="56" fillId="0" borderId="74" xfId="8" applyFont="1" applyBorder="1" applyAlignment="1" applyProtection="1">
      <alignment horizontal="left" vertical="top" wrapText="1"/>
    </xf>
    <xf numFmtId="9" fontId="56" fillId="0" borderId="74" xfId="9" applyNumberFormat="1" applyFont="1" applyBorder="1" applyAlignment="1" applyProtection="1">
      <alignment horizontal="center" vertical="top"/>
    </xf>
    <xf numFmtId="9" fontId="55" fillId="0" borderId="74" xfId="8" applyFont="1" applyBorder="1" applyAlignment="1" applyProtection="1">
      <alignment horizontal="center" vertical="center"/>
    </xf>
    <xf numFmtId="165" fontId="56" fillId="2" borderId="75" xfId="8" applyNumberFormat="1" applyFont="1" applyFill="1" applyBorder="1" applyAlignment="1" applyProtection="1">
      <alignment horizontal="center" vertical="center"/>
    </xf>
    <xf numFmtId="9" fontId="62" fillId="12" borderId="53" xfId="8" applyFont="1" applyFill="1" applyBorder="1" applyAlignment="1" applyProtection="1">
      <alignment horizontal="center"/>
    </xf>
    <xf numFmtId="9" fontId="62" fillId="12" borderId="64" xfId="8" applyFont="1" applyFill="1" applyBorder="1" applyAlignment="1" applyProtection="1">
      <alignment horizontal="center"/>
    </xf>
    <xf numFmtId="9" fontId="62" fillId="12" borderId="57" xfId="8" applyFont="1" applyFill="1" applyBorder="1" applyAlignment="1" applyProtection="1">
      <alignment horizontal="center"/>
    </xf>
    <xf numFmtId="9" fontId="62" fillId="12" borderId="76" xfId="8" applyFont="1" applyFill="1" applyBorder="1" applyAlignment="1" applyProtection="1">
      <alignment horizontal="center"/>
    </xf>
    <xf numFmtId="165" fontId="66" fillId="0" borderId="0" xfId="8" applyNumberFormat="1" applyFont="1" applyAlignment="1" applyProtection="1">
      <alignment horizontal="justify" vertical="center" wrapText="1"/>
    </xf>
    <xf numFmtId="165" fontId="56" fillId="0" borderId="0" xfId="8" applyNumberFormat="1" applyFont="1" applyProtection="1"/>
    <xf numFmtId="165" fontId="66" fillId="0" borderId="0" xfId="8" applyNumberFormat="1" applyFont="1" applyAlignment="1" applyProtection="1">
      <alignment vertical="top"/>
    </xf>
    <xf numFmtId="165" fontId="66" fillId="0" borderId="0" xfId="8" applyNumberFormat="1" applyFont="1" applyProtection="1"/>
    <xf numFmtId="0" fontId="56" fillId="0" borderId="0" xfId="10" applyFont="1"/>
    <xf numFmtId="0" fontId="56" fillId="0" borderId="0" xfId="10" applyFont="1" applyAlignment="1">
      <alignment horizontal="center" vertical="center"/>
    </xf>
    <xf numFmtId="0" fontId="55" fillId="0" borderId="0" xfId="10" applyFont="1" applyAlignment="1">
      <alignment horizontal="center"/>
    </xf>
    <xf numFmtId="0" fontId="55" fillId="0" borderId="0" xfId="10" applyFont="1"/>
    <xf numFmtId="166" fontId="61" fillId="8" borderId="8" xfId="10" applyNumberFormat="1" applyFont="1" applyFill="1" applyBorder="1" applyAlignment="1">
      <alignment horizontal="center" vertical="center"/>
    </xf>
    <xf numFmtId="167" fontId="61" fillId="8" borderId="8" xfId="10" applyNumberFormat="1" applyFont="1" applyFill="1" applyBorder="1" applyAlignment="1">
      <alignment horizontal="center" vertical="center"/>
    </xf>
    <xf numFmtId="0" fontId="60" fillId="0" borderId="0" xfId="10" applyFont="1" applyAlignment="1">
      <alignment vertical="center" wrapText="1"/>
    </xf>
    <xf numFmtId="166" fontId="61" fillId="9" borderId="8" xfId="10" applyNumberFormat="1" applyFont="1" applyFill="1" applyBorder="1" applyAlignment="1">
      <alignment horizontal="center" vertical="center"/>
    </xf>
    <xf numFmtId="168" fontId="61" fillId="9" borderId="8" xfId="10" applyNumberFormat="1" applyFont="1" applyFill="1" applyBorder="1" applyAlignment="1">
      <alignment horizontal="center" vertical="center"/>
    </xf>
    <xf numFmtId="0" fontId="55" fillId="0" borderId="0" xfId="10" applyFont="1" applyAlignment="1">
      <alignment vertical="center" wrapText="1"/>
    </xf>
    <xf numFmtId="169" fontId="61" fillId="10" borderId="8" xfId="10" applyNumberFormat="1" applyFont="1" applyFill="1" applyBorder="1" applyAlignment="1">
      <alignment horizontal="center" vertical="center"/>
    </xf>
    <xf numFmtId="168" fontId="61" fillId="10" borderId="8" xfId="10" applyNumberFormat="1" applyFont="1" applyFill="1" applyBorder="1" applyAlignment="1">
      <alignment horizontal="center" vertical="center"/>
    </xf>
    <xf numFmtId="165" fontId="56" fillId="0" borderId="0" xfId="8" applyNumberFormat="1" applyFont="1" applyBorder="1" applyAlignment="1" applyProtection="1">
      <alignment horizontal="center" vertical="center"/>
    </xf>
    <xf numFmtId="169" fontId="60" fillId="4" borderId="8" xfId="10" applyNumberFormat="1" applyFont="1" applyFill="1" applyBorder="1" applyAlignment="1">
      <alignment horizontal="center" vertical="center"/>
    </xf>
    <xf numFmtId="170" fontId="60" fillId="4" borderId="8" xfId="10" applyNumberFormat="1" applyFont="1" applyFill="1" applyBorder="1" applyAlignment="1">
      <alignment horizontal="center" vertical="center"/>
    </xf>
    <xf numFmtId="0" fontId="60" fillId="0" borderId="0" xfId="10" applyFont="1" applyAlignment="1">
      <alignment horizontal="center" vertical="center" wrapText="1"/>
    </xf>
    <xf numFmtId="9" fontId="63" fillId="0" borderId="0" xfId="10" applyNumberFormat="1" applyFont="1" applyAlignment="1">
      <alignment horizontal="center" vertical="center" wrapText="1"/>
    </xf>
    <xf numFmtId="0" fontId="63" fillId="0" borderId="0" xfId="10" applyFont="1" applyAlignment="1">
      <alignment horizontal="center" vertical="center" wrapText="1"/>
    </xf>
    <xf numFmtId="0" fontId="61" fillId="0" borderId="0" xfId="10" applyFont="1" applyAlignment="1">
      <alignment vertical="center" wrapText="1"/>
    </xf>
    <xf numFmtId="0" fontId="62" fillId="0" borderId="0" xfId="10" applyFont="1" applyAlignment="1">
      <alignment vertical="center" wrapText="1"/>
    </xf>
    <xf numFmtId="169" fontId="61" fillId="0" borderId="0" xfId="8" applyNumberFormat="1" applyFont="1" applyFill="1" applyBorder="1" applyAlignment="1" applyProtection="1">
      <alignment horizontal="center" vertical="center"/>
    </xf>
    <xf numFmtId="170" fontId="61" fillId="0" borderId="0" xfId="8" applyNumberFormat="1" applyFont="1" applyFill="1" applyBorder="1" applyAlignment="1" applyProtection="1">
      <alignment horizontal="center" vertical="center"/>
    </xf>
    <xf numFmtId="0" fontId="61" fillId="12" borderId="0" xfId="10" applyFont="1" applyFill="1" applyAlignment="1">
      <alignment horizontal="center" vertical="center" wrapText="1"/>
    </xf>
    <xf numFmtId="0" fontId="61" fillId="0" borderId="0" xfId="10" applyFont="1" applyAlignment="1">
      <alignment horizontal="center" vertical="center" wrapText="1"/>
    </xf>
    <xf numFmtId="0" fontId="61" fillId="12" borderId="53" xfId="10" applyFont="1" applyFill="1" applyBorder="1" applyAlignment="1">
      <alignment horizontal="center" vertical="center"/>
    </xf>
    <xf numFmtId="0" fontId="61" fillId="12" borderId="54" xfId="10" applyFont="1" applyFill="1" applyBorder="1" applyAlignment="1">
      <alignment horizontal="center" vertical="center"/>
    </xf>
    <xf numFmtId="0" fontId="61" fillId="12" borderId="57" xfId="10" applyFont="1" applyFill="1" applyBorder="1" applyAlignment="1">
      <alignment horizontal="center" vertical="center"/>
    </xf>
    <xf numFmtId="0" fontId="61" fillId="12" borderId="56" xfId="10" applyFont="1" applyFill="1" applyBorder="1" applyAlignment="1">
      <alignment horizontal="center" vertical="center"/>
    </xf>
    <xf numFmtId="0" fontId="55" fillId="0" borderId="0" xfId="10" applyFont="1" applyAlignment="1">
      <alignment horizontal="center" vertical="center"/>
    </xf>
    <xf numFmtId="0" fontId="56" fillId="0" borderId="58" xfId="10" applyFont="1" applyBorder="1" applyAlignment="1">
      <alignment horizontal="left" vertical="center"/>
    </xf>
    <xf numFmtId="0" fontId="56" fillId="0" borderId="58" xfId="10" applyFont="1" applyBorder="1" applyAlignment="1">
      <alignment horizontal="left" vertical="center" wrapText="1"/>
    </xf>
    <xf numFmtId="0" fontId="56" fillId="0" borderId="58" xfId="10" applyFont="1" applyBorder="1" applyAlignment="1">
      <alignment horizontal="center" vertical="center" wrapText="1"/>
    </xf>
    <xf numFmtId="171" fontId="56" fillId="0" borderId="58" xfId="10" applyNumberFormat="1" applyFont="1" applyBorder="1" applyAlignment="1">
      <alignment horizontal="center" vertical="center"/>
    </xf>
    <xf numFmtId="37" fontId="56" fillId="0" borderId="58" xfId="10" applyNumberFormat="1" applyFont="1" applyBorder="1" applyAlignment="1">
      <alignment horizontal="center" vertical="center"/>
    </xf>
    <xf numFmtId="0" fontId="56" fillId="0" borderId="0" xfId="10" applyFont="1" applyAlignment="1">
      <alignment vertical="center"/>
    </xf>
    <xf numFmtId="0" fontId="56" fillId="0" borderId="59" xfId="10" applyFont="1" applyBorder="1" applyAlignment="1">
      <alignment horizontal="left" vertical="center"/>
    </xf>
    <xf numFmtId="0" fontId="56" fillId="0" borderId="60" xfId="10" applyFont="1" applyBorder="1" applyAlignment="1">
      <alignment horizontal="left" vertical="center" wrapText="1"/>
    </xf>
    <xf numFmtId="37" fontId="56" fillId="0" borderId="60" xfId="8" applyNumberFormat="1" applyFont="1" applyBorder="1" applyAlignment="1">
      <alignment horizontal="center" vertical="center"/>
    </xf>
    <xf numFmtId="37" fontId="56" fillId="0" borderId="60" xfId="10" applyNumberFormat="1" applyFont="1" applyBorder="1" applyAlignment="1">
      <alignment horizontal="center" vertical="center"/>
    </xf>
    <xf numFmtId="165" fontId="56" fillId="0" borderId="60" xfId="11" applyNumberFormat="1" applyFont="1" applyBorder="1" applyAlignment="1">
      <alignment horizontal="center" vertical="center"/>
    </xf>
    <xf numFmtId="9" fontId="56" fillId="0" borderId="58" xfId="11" applyFont="1" applyBorder="1" applyAlignment="1">
      <alignment horizontal="center" vertical="center"/>
    </xf>
    <xf numFmtId="0" fontId="56" fillId="0" borderId="59" xfId="10" applyFont="1" applyBorder="1" applyAlignment="1">
      <alignment horizontal="left" vertical="center" wrapText="1"/>
    </xf>
    <xf numFmtId="0" fontId="56" fillId="0" borderId="0" xfId="10" applyFont="1" applyAlignment="1">
      <alignment horizontal="center" vertical="center" wrapText="1"/>
    </xf>
    <xf numFmtId="10" fontId="56" fillId="0" borderId="59" xfId="11" applyNumberFormat="1" applyFont="1" applyBorder="1" applyAlignment="1">
      <alignment horizontal="center" vertical="center"/>
    </xf>
    <xf numFmtId="173" fontId="56" fillId="0" borderId="59" xfId="8" applyNumberFormat="1" applyFont="1" applyBorder="1" applyAlignment="1">
      <alignment horizontal="center" vertical="center"/>
    </xf>
    <xf numFmtId="1" fontId="56" fillId="0" borderId="60" xfId="10" applyNumberFormat="1" applyFont="1" applyBorder="1" applyAlignment="1">
      <alignment horizontal="center" vertical="center"/>
    </xf>
    <xf numFmtId="0" fontId="56" fillId="0" borderId="60" xfId="10" applyFont="1" applyBorder="1" applyAlignment="1">
      <alignment vertical="center"/>
    </xf>
    <xf numFmtId="9" fontId="56" fillId="0" borderId="58" xfId="10" applyNumberFormat="1" applyFont="1" applyBorder="1" applyAlignment="1">
      <alignment horizontal="center" vertical="center"/>
    </xf>
    <xf numFmtId="2" fontId="56" fillId="0" borderId="59" xfId="8" applyNumberFormat="1" applyFont="1" applyBorder="1" applyAlignment="1">
      <alignment horizontal="center" vertical="center"/>
    </xf>
    <xf numFmtId="165" fontId="56" fillId="0" borderId="58" xfId="10" applyNumberFormat="1" applyFont="1" applyBorder="1" applyAlignment="1">
      <alignment horizontal="center" vertical="center"/>
    </xf>
    <xf numFmtId="165" fontId="56" fillId="0" borderId="58" xfId="8" applyNumberFormat="1" applyFont="1" applyBorder="1" applyAlignment="1">
      <alignment horizontal="center" vertical="center"/>
    </xf>
    <xf numFmtId="1" fontId="56" fillId="0" borderId="58" xfId="10" applyNumberFormat="1" applyFont="1" applyBorder="1" applyAlignment="1">
      <alignment horizontal="center" vertical="center"/>
    </xf>
    <xf numFmtId="2" fontId="56" fillId="0" borderId="60" xfId="12" applyNumberFormat="1" applyFont="1" applyBorder="1" applyAlignment="1">
      <alignment horizontal="center" vertical="center"/>
    </xf>
    <xf numFmtId="9" fontId="56" fillId="0" borderId="60" xfId="11" applyFont="1" applyBorder="1" applyAlignment="1">
      <alignment horizontal="center" vertical="center"/>
    </xf>
    <xf numFmtId="173" fontId="56" fillId="0" borderId="58" xfId="10" applyNumberFormat="1" applyFont="1" applyBorder="1" applyAlignment="1">
      <alignment horizontal="center" vertical="center"/>
    </xf>
    <xf numFmtId="172" fontId="56" fillId="0" borderId="60" xfId="10" applyNumberFormat="1" applyFont="1" applyBorder="1" applyAlignment="1">
      <alignment horizontal="center" vertical="center"/>
    </xf>
    <xf numFmtId="2" fontId="56" fillId="0" borderId="60" xfId="8" applyNumberFormat="1" applyFont="1" applyFill="1" applyBorder="1" applyAlignment="1">
      <alignment horizontal="center" vertical="center"/>
    </xf>
    <xf numFmtId="2" fontId="56" fillId="0" borderId="60" xfId="10" applyNumberFormat="1" applyFont="1" applyBorder="1" applyAlignment="1">
      <alignment horizontal="center" vertical="center"/>
    </xf>
    <xf numFmtId="175" fontId="56" fillId="0" borderId="58" xfId="10" applyNumberFormat="1" applyFont="1" applyBorder="1" applyAlignment="1">
      <alignment horizontal="center" vertical="center"/>
    </xf>
    <xf numFmtId="2" fontId="56" fillId="0" borderId="59" xfId="10" applyNumberFormat="1" applyFont="1" applyBorder="1" applyAlignment="1">
      <alignment horizontal="center" vertical="center"/>
    </xf>
    <xf numFmtId="37" fontId="56" fillId="0" borderId="59" xfId="10" applyNumberFormat="1" applyFont="1" applyBorder="1" applyAlignment="1">
      <alignment horizontal="center" vertical="center"/>
    </xf>
    <xf numFmtId="0" fontId="56" fillId="0" borderId="58" xfId="10" applyFont="1" applyBorder="1" applyAlignment="1">
      <alignment horizontal="center" vertical="center"/>
    </xf>
    <xf numFmtId="2" fontId="56" fillId="0" borderId="58" xfId="10" applyNumberFormat="1" applyFont="1" applyBorder="1" applyAlignment="1">
      <alignment horizontal="center" vertical="center"/>
    </xf>
    <xf numFmtId="9" fontId="56" fillId="0" borderId="59" xfId="10" applyNumberFormat="1" applyFont="1" applyBorder="1" applyAlignment="1">
      <alignment horizontal="center" vertical="center"/>
    </xf>
    <xf numFmtId="165" fontId="56" fillId="0" borderId="60" xfId="10" applyNumberFormat="1" applyFont="1" applyBorder="1" applyAlignment="1">
      <alignment horizontal="center" vertical="center"/>
    </xf>
    <xf numFmtId="1" fontId="56" fillId="0" borderId="59" xfId="10" applyNumberFormat="1" applyFont="1" applyBorder="1" applyAlignment="1">
      <alignment horizontal="center" vertical="center"/>
    </xf>
    <xf numFmtId="9" fontId="56" fillId="0" borderId="59" xfId="8" applyFont="1" applyBorder="1" applyAlignment="1" applyProtection="1">
      <alignment horizontal="center" vertical="center" wrapText="1"/>
    </xf>
    <xf numFmtId="2" fontId="56" fillId="0" borderId="59" xfId="9" applyNumberFormat="1" applyFont="1" applyBorder="1" applyAlignment="1">
      <alignment horizontal="center" vertical="center"/>
    </xf>
    <xf numFmtId="0" fontId="56" fillId="0" borderId="0" xfId="10" applyFont="1" applyAlignment="1">
      <alignment horizontal="center"/>
    </xf>
    <xf numFmtId="0" fontId="61" fillId="12" borderId="66" xfId="10" applyFont="1" applyFill="1" applyBorder="1" applyAlignment="1">
      <alignment vertical="center"/>
    </xf>
    <xf numFmtId="0" fontId="61" fillId="12" borderId="52" xfId="10" applyFont="1" applyFill="1" applyBorder="1" applyAlignment="1">
      <alignment horizontal="center" vertical="center"/>
    </xf>
    <xf numFmtId="0" fontId="61" fillId="12" borderId="62" xfId="10" applyFont="1" applyFill="1" applyBorder="1" applyAlignment="1">
      <alignment horizontal="center" vertical="center"/>
    </xf>
    <xf numFmtId="0" fontId="61" fillId="12" borderId="66" xfId="10" applyFont="1" applyFill="1" applyBorder="1" applyAlignment="1">
      <alignment horizontal="center" vertical="center" wrapText="1"/>
    </xf>
    <xf numFmtId="0" fontId="61" fillId="12" borderId="52" xfId="10" applyFont="1" applyFill="1" applyBorder="1" applyAlignment="1">
      <alignment horizontal="center" vertical="center" wrapText="1"/>
    </xf>
    <xf numFmtId="0" fontId="56" fillId="0" borderId="67" xfId="10" applyFont="1" applyBorder="1" applyAlignment="1">
      <alignment vertical="center" wrapText="1"/>
    </xf>
    <xf numFmtId="0" fontId="56" fillId="0" borderId="68" xfId="10" applyFont="1" applyBorder="1" applyAlignment="1">
      <alignment vertical="center" wrapText="1"/>
    </xf>
    <xf numFmtId="9" fontId="56" fillId="0" borderId="68" xfId="8" applyFont="1" applyBorder="1" applyAlignment="1" applyProtection="1">
      <alignment horizontal="left" vertical="center"/>
    </xf>
    <xf numFmtId="9" fontId="56" fillId="0" borderId="68" xfId="8" applyFont="1" applyBorder="1" applyAlignment="1" applyProtection="1">
      <alignment horizontal="center" vertical="center" wrapText="1"/>
    </xf>
    <xf numFmtId="171" fontId="56" fillId="0" borderId="68" xfId="10" applyNumberFormat="1" applyFont="1" applyBorder="1" applyAlignment="1">
      <alignment horizontal="center" vertical="center"/>
    </xf>
    <xf numFmtId="171" fontId="56" fillId="0" borderId="86" xfId="10" applyNumberFormat="1" applyFont="1" applyBorder="1" applyAlignment="1">
      <alignment horizontal="center" vertical="center"/>
    </xf>
    <xf numFmtId="9" fontId="56" fillId="0" borderId="68" xfId="8" applyFont="1" applyBorder="1" applyAlignment="1" applyProtection="1">
      <alignment horizontal="center" vertical="center"/>
    </xf>
    <xf numFmtId="2" fontId="56" fillId="0" borderId="68" xfId="10" applyNumberFormat="1" applyFont="1" applyBorder="1" applyAlignment="1">
      <alignment horizontal="center" vertical="center"/>
    </xf>
    <xf numFmtId="2" fontId="56" fillId="15" borderId="68" xfId="10" applyNumberFormat="1" applyFont="1" applyFill="1" applyBorder="1" applyAlignment="1">
      <alignment horizontal="center" vertical="center"/>
    </xf>
    <xf numFmtId="2" fontId="56" fillId="0" borderId="64" xfId="9" applyNumberFormat="1" applyFont="1" applyBorder="1" applyAlignment="1">
      <alignment horizontal="center" vertical="center"/>
    </xf>
    <xf numFmtId="0" fontId="56" fillId="0" borderId="70" xfId="10" applyFont="1" applyBorder="1" applyAlignment="1">
      <alignment vertical="top" wrapText="1"/>
    </xf>
    <xf numFmtId="0" fontId="56" fillId="0" borderId="71" xfId="10" applyFont="1" applyBorder="1" applyAlignment="1">
      <alignment vertical="top" wrapText="1"/>
    </xf>
    <xf numFmtId="171" fontId="56" fillId="0" borderId="87" xfId="10" applyNumberFormat="1" applyFont="1" applyBorder="1" applyAlignment="1">
      <alignment horizontal="center" vertical="center"/>
    </xf>
    <xf numFmtId="9" fontId="56" fillId="0" borderId="71" xfId="10" applyNumberFormat="1" applyFont="1" applyBorder="1" applyAlignment="1">
      <alignment horizontal="center" vertical="top"/>
    </xf>
    <xf numFmtId="9" fontId="56" fillId="15" borderId="71" xfId="10" applyNumberFormat="1" applyFont="1" applyFill="1" applyBorder="1" applyAlignment="1">
      <alignment horizontal="center" vertical="top"/>
    </xf>
    <xf numFmtId="0" fontId="56" fillId="0" borderId="73" xfId="10" applyFont="1" applyBorder="1" applyAlignment="1">
      <alignment vertical="top" wrapText="1"/>
    </xf>
    <xf numFmtId="0" fontId="56" fillId="0" borderId="74" xfId="10" applyFont="1" applyBorder="1" applyAlignment="1">
      <alignment vertical="top" wrapText="1"/>
    </xf>
    <xf numFmtId="171" fontId="56" fillId="0" borderId="82" xfId="10" applyNumberFormat="1" applyFont="1" applyBorder="1" applyAlignment="1">
      <alignment horizontal="center" vertical="center"/>
    </xf>
    <xf numFmtId="171" fontId="56" fillId="0" borderId="76" xfId="10" applyNumberFormat="1" applyFont="1" applyBorder="1" applyAlignment="1">
      <alignment horizontal="center" vertical="center"/>
    </xf>
    <xf numFmtId="9" fontId="56" fillId="15" borderId="74" xfId="10" applyNumberFormat="1" applyFont="1" applyFill="1" applyBorder="1" applyAlignment="1">
      <alignment horizontal="center" vertical="top"/>
    </xf>
    <xf numFmtId="0" fontId="55" fillId="0" borderId="0" xfId="10" applyFont="1" applyAlignment="1">
      <alignment horizontal="left" vertical="center"/>
    </xf>
    <xf numFmtId="0" fontId="66" fillId="0" borderId="0" xfId="10" applyFont="1" applyAlignment="1">
      <alignment horizontal="justify" vertical="center" wrapText="1"/>
    </xf>
    <xf numFmtId="0" fontId="55" fillId="0" borderId="89" xfId="10" applyFont="1" applyBorder="1" applyAlignment="1">
      <alignment horizontal="center" vertical="center"/>
    </xf>
    <xf numFmtId="4" fontId="67" fillId="0" borderId="91" xfId="10" applyNumberFormat="1" applyFont="1" applyBorder="1" applyAlignment="1">
      <alignment horizontal="center" vertical="center"/>
    </xf>
    <xf numFmtId="0" fontId="55" fillId="0" borderId="84" xfId="10" applyFont="1" applyBorder="1" applyAlignment="1">
      <alignment horizontal="center" vertical="center"/>
    </xf>
    <xf numFmtId="4" fontId="67" fillId="0" borderId="78" xfId="10" applyNumberFormat="1" applyFont="1" applyBorder="1" applyAlignment="1">
      <alignment horizontal="center" vertical="center"/>
    </xf>
    <xf numFmtId="0" fontId="55" fillId="0" borderId="92" xfId="10" applyFont="1" applyBorder="1" applyAlignment="1">
      <alignment horizontal="center" vertical="center"/>
    </xf>
    <xf numFmtId="4" fontId="67" fillId="0" borderId="94" xfId="10" applyNumberFormat="1" applyFont="1" applyBorder="1" applyAlignment="1">
      <alignment horizontal="center" vertical="center"/>
    </xf>
    <xf numFmtId="4" fontId="66" fillId="16" borderId="56" xfId="10" applyNumberFormat="1" applyFont="1" applyFill="1" applyBorder="1" applyAlignment="1">
      <alignment horizontal="center" vertical="top"/>
    </xf>
    <xf numFmtId="0" fontId="55" fillId="0" borderId="57" xfId="10" applyFont="1" applyBorder="1" applyAlignment="1">
      <alignment vertical="center" wrapText="1"/>
    </xf>
    <xf numFmtId="0" fontId="55" fillId="0" borderId="76" xfId="10" applyFont="1" applyBorder="1" applyAlignment="1">
      <alignment vertical="center" wrapText="1"/>
    </xf>
    <xf numFmtId="0" fontId="66" fillId="0" borderId="76" xfId="10" applyFont="1" applyBorder="1"/>
    <xf numFmtId="0" fontId="55" fillId="0" borderId="62" xfId="10" applyFont="1" applyBorder="1" applyAlignment="1">
      <alignment horizontal="right" vertical="center" wrapText="1"/>
    </xf>
    <xf numFmtId="4" fontId="55" fillId="0" borderId="56" xfId="10" applyNumberFormat="1" applyFont="1" applyBorder="1" applyAlignment="1">
      <alignment horizontal="center" vertical="center"/>
    </xf>
    <xf numFmtId="0" fontId="66" fillId="0" borderId="0" xfId="10" applyFont="1"/>
    <xf numFmtId="0" fontId="55" fillId="0" borderId="0" xfId="10" applyFont="1" applyAlignment="1">
      <alignment horizontal="center" vertical="center" wrapText="1"/>
    </xf>
    <xf numFmtId="4" fontId="55" fillId="0" borderId="0" xfId="10" applyNumberFormat="1" applyFont="1" applyAlignment="1">
      <alignment horizontal="center" vertical="center" wrapText="1"/>
    </xf>
    <xf numFmtId="0" fontId="66" fillId="0" borderId="0" xfId="10" applyFont="1" applyAlignment="1">
      <alignment horizontal="center"/>
    </xf>
    <xf numFmtId="0" fontId="57" fillId="12" borderId="0" xfId="13" applyFont="1" applyFill="1"/>
    <xf numFmtId="0" fontId="2" fillId="0" borderId="0" xfId="13"/>
    <xf numFmtId="0" fontId="57" fillId="12" borderId="8" xfId="13" applyFont="1" applyFill="1" applyBorder="1"/>
    <xf numFmtId="0" fontId="57" fillId="12" borderId="7" xfId="13" applyFont="1" applyFill="1" applyBorder="1"/>
    <xf numFmtId="176" fontId="0" fillId="0" borderId="8" xfId="12" applyNumberFormat="1" applyFont="1" applyBorder="1"/>
    <xf numFmtId="0" fontId="57" fillId="12" borderId="6" xfId="13" applyFont="1" applyFill="1" applyBorder="1"/>
    <xf numFmtId="2" fontId="2" fillId="0" borderId="0" xfId="13" applyNumberFormat="1"/>
    <xf numFmtId="178" fontId="0" fillId="0" borderId="8" xfId="12" applyNumberFormat="1" applyFont="1" applyBorder="1"/>
    <xf numFmtId="9" fontId="0" fillId="0" borderId="8" xfId="11" applyFont="1" applyBorder="1"/>
    <xf numFmtId="9" fontId="0" fillId="0" borderId="0" xfId="11" applyFont="1"/>
    <xf numFmtId="176" fontId="2" fillId="0" borderId="8" xfId="13" applyNumberFormat="1" applyBorder="1"/>
    <xf numFmtId="43" fontId="0" fillId="0" borderId="8" xfId="12" applyFont="1" applyBorder="1"/>
    <xf numFmtId="43" fontId="2" fillId="0" borderId="8" xfId="13" applyNumberFormat="1" applyBorder="1"/>
    <xf numFmtId="165" fontId="0" fillId="0" borderId="8" xfId="11" applyNumberFormat="1" applyFont="1" applyBorder="1"/>
    <xf numFmtId="165" fontId="0" fillId="0" borderId="0" xfId="11" applyNumberFormat="1" applyFont="1"/>
    <xf numFmtId="0" fontId="57" fillId="0" borderId="0" xfId="13" applyFont="1"/>
    <xf numFmtId="9" fontId="0" fillId="0" borderId="0" xfId="11" applyFont="1" applyFill="1" applyBorder="1"/>
    <xf numFmtId="9" fontId="2" fillId="0" borderId="0" xfId="13" applyNumberFormat="1"/>
    <xf numFmtId="10" fontId="0" fillId="0" borderId="0" xfId="11" applyNumberFormat="1" applyFont="1"/>
    <xf numFmtId="9" fontId="0" fillId="0" borderId="8" xfId="11" applyFont="1" applyBorder="1" applyAlignment="1">
      <alignment horizontal="right"/>
    </xf>
    <xf numFmtId="176" fontId="0" fillId="0" borderId="8" xfId="12" applyNumberFormat="1" applyFont="1" applyFill="1" applyBorder="1"/>
    <xf numFmtId="9" fontId="0" fillId="0" borderId="0" xfId="11" applyFont="1" applyFill="1" applyBorder="1" applyAlignment="1">
      <alignment horizontal="right"/>
    </xf>
    <xf numFmtId="0" fontId="57" fillId="0" borderId="18" xfId="13" applyFont="1" applyBorder="1"/>
    <xf numFmtId="0" fontId="57" fillId="12" borderId="0" xfId="13" applyFont="1" applyFill="1" applyAlignment="1">
      <alignment vertical="center" wrapText="1"/>
    </xf>
    <xf numFmtId="0" fontId="57" fillId="12" borderId="8" xfId="13" applyFont="1" applyFill="1" applyBorder="1" applyAlignment="1">
      <alignment horizontal="center" vertical="center"/>
    </xf>
    <xf numFmtId="43" fontId="0" fillId="0" borderId="0" xfId="12" applyFont="1"/>
    <xf numFmtId="0" fontId="57" fillId="12" borderId="18" xfId="13" applyFont="1" applyFill="1" applyBorder="1"/>
    <xf numFmtId="0" fontId="57" fillId="12" borderId="8" xfId="13" applyFont="1" applyFill="1" applyBorder="1" applyAlignment="1">
      <alignment vertical="center"/>
    </xf>
    <xf numFmtId="0" fontId="2" fillId="0" borderId="0" xfId="13" applyAlignment="1">
      <alignment vertical="center"/>
    </xf>
    <xf numFmtId="0" fontId="57" fillId="12" borderId="7" xfId="13" applyFont="1" applyFill="1" applyBorder="1" applyAlignment="1">
      <alignment vertical="center"/>
    </xf>
    <xf numFmtId="43" fontId="2" fillId="0" borderId="0" xfId="13" applyNumberFormat="1"/>
    <xf numFmtId="176" fontId="0" fillId="17" borderId="8" xfId="12" applyNumberFormat="1" applyFont="1" applyFill="1" applyBorder="1"/>
    <xf numFmtId="0" fontId="2" fillId="0" borderId="0" xfId="13" applyAlignment="1">
      <alignment horizontal="center" vertical="center"/>
    </xf>
    <xf numFmtId="0" fontId="57" fillId="12" borderId="8" xfId="13" applyFont="1" applyFill="1" applyBorder="1" applyAlignment="1">
      <alignment vertical="center" wrapText="1"/>
    </xf>
    <xf numFmtId="0" fontId="61" fillId="12" borderId="8" xfId="13" applyFont="1" applyFill="1" applyBorder="1" applyAlignment="1">
      <alignment horizontal="center" vertical="center"/>
    </xf>
    <xf numFmtId="43" fontId="0" fillId="4" borderId="8" xfId="12" applyFont="1" applyFill="1" applyBorder="1"/>
    <xf numFmtId="43" fontId="55" fillId="4" borderId="8" xfId="12" applyFont="1" applyFill="1" applyBorder="1" applyAlignment="1">
      <alignment horizontal="center"/>
    </xf>
    <xf numFmtId="165" fontId="0" fillId="0" borderId="8" xfId="12" applyNumberFormat="1" applyFont="1" applyBorder="1"/>
    <xf numFmtId="10" fontId="0" fillId="0" borderId="8" xfId="11" applyNumberFormat="1" applyFont="1" applyBorder="1"/>
    <xf numFmtId="176" fontId="0" fillId="4" borderId="8" xfId="12" applyNumberFormat="1" applyFont="1" applyFill="1" applyBorder="1"/>
    <xf numFmtId="9" fontId="0" fillId="0" borderId="8" xfId="12" applyNumberFormat="1" applyFont="1" applyBorder="1"/>
    <xf numFmtId="9" fontId="0" fillId="4" borderId="8" xfId="11" applyFont="1" applyFill="1" applyBorder="1"/>
    <xf numFmtId="9" fontId="0" fillId="4" borderId="8" xfId="12" applyNumberFormat="1" applyFont="1" applyFill="1" applyBorder="1"/>
    <xf numFmtId="0" fontId="57" fillId="12" borderId="8" xfId="13" applyFont="1" applyFill="1" applyBorder="1" applyAlignment="1">
      <alignment wrapText="1"/>
    </xf>
    <xf numFmtId="0" fontId="57" fillId="12" borderId="8" xfId="13" applyFont="1" applyFill="1" applyBorder="1" applyAlignment="1">
      <alignment horizontal="center"/>
    </xf>
    <xf numFmtId="43" fontId="0" fillId="0" borderId="8" xfId="12" applyFont="1" applyFill="1" applyBorder="1"/>
    <xf numFmtId="176" fontId="0" fillId="0" borderId="8" xfId="12" applyNumberFormat="1" applyFont="1" applyFill="1" applyBorder="1" applyAlignment="1">
      <alignment vertical="center"/>
    </xf>
    <xf numFmtId="0" fontId="2" fillId="0" borderId="8" xfId="13" applyBorder="1" applyAlignment="1">
      <alignment vertical="center"/>
    </xf>
    <xf numFmtId="43" fontId="0" fillId="0" borderId="8" xfId="12" applyFont="1" applyFill="1" applyBorder="1" applyAlignment="1">
      <alignment vertical="center"/>
    </xf>
    <xf numFmtId="9" fontId="0" fillId="0" borderId="8" xfId="11" applyFont="1" applyFill="1" applyBorder="1" applyAlignment="1">
      <alignment horizontal="right"/>
    </xf>
    <xf numFmtId="9" fontId="0" fillId="2" borderId="8" xfId="11" applyFont="1" applyFill="1" applyBorder="1"/>
    <xf numFmtId="9" fontId="2" fillId="0" borderId="8" xfId="11" applyFont="1" applyFill="1" applyBorder="1"/>
    <xf numFmtId="1" fontId="0" fillId="0" borderId="8" xfId="12" applyNumberFormat="1" applyFont="1" applyBorder="1"/>
    <xf numFmtId="1" fontId="0" fillId="4" borderId="8" xfId="12" applyNumberFormat="1" applyFont="1" applyFill="1" applyBorder="1"/>
    <xf numFmtId="1" fontId="0" fillId="4" borderId="8" xfId="11" applyNumberFormat="1" applyFont="1" applyFill="1" applyBorder="1"/>
    <xf numFmtId="9" fontId="0" fillId="0" borderId="8" xfId="11" applyFont="1" applyFill="1" applyBorder="1"/>
    <xf numFmtId="9" fontId="0" fillId="0" borderId="8" xfId="11" applyFont="1" applyBorder="1" applyAlignment="1">
      <alignment vertical="center"/>
    </xf>
    <xf numFmtId="10" fontId="0" fillId="4" borderId="8" xfId="11" applyNumberFormat="1" applyFont="1" applyFill="1" applyBorder="1" applyAlignment="1">
      <alignment vertical="center"/>
    </xf>
    <xf numFmtId="9" fontId="0" fillId="4" borderId="8" xfId="11" applyFont="1" applyFill="1" applyBorder="1" applyAlignment="1">
      <alignment vertical="center"/>
    </xf>
    <xf numFmtId="9" fontId="0" fillId="0" borderId="8" xfId="11" applyFont="1" applyBorder="1" applyAlignment="1">
      <alignment horizontal="right" vertical="center"/>
    </xf>
    <xf numFmtId="1" fontId="2" fillId="0" borderId="8" xfId="13" applyNumberFormat="1" applyBorder="1"/>
    <xf numFmtId="1" fontId="0" fillId="0" borderId="8" xfId="12" applyNumberFormat="1" applyFont="1" applyFill="1" applyBorder="1"/>
    <xf numFmtId="0" fontId="60" fillId="0" borderId="8" xfId="0" applyFont="1" applyBorder="1" applyAlignment="1">
      <alignment vertical="center"/>
    </xf>
    <xf numFmtId="167" fontId="61" fillId="0" borderId="0" xfId="10" applyNumberFormat="1" applyFont="1" applyAlignment="1">
      <alignment horizontal="center" vertical="center"/>
    </xf>
    <xf numFmtId="0" fontId="60" fillId="0" borderId="8" xfId="0" applyFont="1" applyBorder="1" applyAlignment="1">
      <alignment vertical="center" wrapText="1"/>
    </xf>
    <xf numFmtId="165" fontId="56" fillId="0" borderId="60" xfId="8" applyNumberFormat="1" applyFont="1" applyBorder="1" applyAlignment="1" applyProtection="1">
      <alignment horizontal="center" vertical="center"/>
    </xf>
    <xf numFmtId="165" fontId="56" fillId="0" borderId="58" xfId="8" applyNumberFormat="1" applyFont="1" applyBorder="1" applyAlignment="1" applyProtection="1">
      <alignment horizontal="center" vertical="center"/>
    </xf>
    <xf numFmtId="168" fontId="61" fillId="0" borderId="0" xfId="10" applyNumberFormat="1" applyFont="1" applyAlignment="1">
      <alignment horizontal="center" vertical="center"/>
    </xf>
    <xf numFmtId="170" fontId="60" fillId="0" borderId="0" xfId="10" applyNumberFormat="1" applyFont="1" applyAlignment="1">
      <alignment horizontal="center" vertical="center"/>
    </xf>
    <xf numFmtId="171" fontId="56" fillId="0" borderId="0" xfId="10" applyNumberFormat="1" applyFont="1" applyAlignment="1">
      <alignment horizontal="center" vertical="center"/>
    </xf>
    <xf numFmtId="43" fontId="56" fillId="0" borderId="0" xfId="9" applyFont="1" applyFill="1" applyAlignment="1" applyProtection="1">
      <alignment horizontal="center" vertical="center"/>
    </xf>
    <xf numFmtId="168" fontId="64" fillId="0" borderId="0" xfId="10" applyNumberFormat="1" applyFont="1" applyAlignment="1">
      <alignment horizontal="center" vertical="center"/>
    </xf>
    <xf numFmtId="0" fontId="35" fillId="3" borderId="80" xfId="0" applyFont="1" applyFill="1" applyBorder="1" applyAlignment="1">
      <alignment vertical="center" wrapText="1"/>
    </xf>
    <xf numFmtId="0" fontId="35" fillId="3" borderId="4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/>
    </xf>
    <xf numFmtId="0" fontId="35" fillId="3" borderId="9" xfId="0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5" fillId="3" borderId="9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/>
    </xf>
    <xf numFmtId="0" fontId="35" fillId="3" borderId="80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3" fillId="0" borderId="43" xfId="0" applyFont="1" applyBorder="1" applyAlignment="1">
      <alignment vertical="top" wrapText="1"/>
    </xf>
    <xf numFmtId="0" fontId="8" fillId="0" borderId="43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35" fillId="3" borderId="26" xfId="0" applyFont="1" applyFill="1" applyBorder="1" applyAlignment="1">
      <alignment wrapText="1"/>
    </xf>
    <xf numFmtId="0" fontId="35" fillId="3" borderId="26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10" fillId="0" borderId="43" xfId="0" applyFont="1" applyBorder="1" applyAlignment="1">
      <alignment horizontal="center" vertical="top"/>
    </xf>
    <xf numFmtId="0" fontId="12" fillId="0" borderId="43" xfId="0" applyFont="1" applyBorder="1" applyAlignment="1">
      <alignment horizontal="center"/>
    </xf>
    <xf numFmtId="0" fontId="35" fillId="3" borderId="26" xfId="0" applyFont="1" applyFill="1" applyBorder="1" applyAlignment="1">
      <alignment horizontal="center"/>
    </xf>
    <xf numFmtId="0" fontId="20" fillId="0" borderId="43" xfId="0" applyFont="1" applyBorder="1" applyAlignment="1">
      <alignment horizontal="center" vertical="top"/>
    </xf>
    <xf numFmtId="0" fontId="14" fillId="0" borderId="43" xfId="0" applyFont="1" applyBorder="1" applyAlignment="1">
      <alignment horizontal="center" vertical="top"/>
    </xf>
    <xf numFmtId="1" fontId="35" fillId="3" borderId="80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1" fontId="13" fillId="0" borderId="43" xfId="0" applyNumberFormat="1" applyFont="1" applyBorder="1" applyAlignment="1">
      <alignment horizontal="center" vertical="top"/>
    </xf>
    <xf numFmtId="1" fontId="23" fillId="0" borderId="43" xfId="0" applyNumberFormat="1" applyFont="1" applyBorder="1" applyAlignment="1">
      <alignment horizontal="center" vertical="top"/>
    </xf>
    <xf numFmtId="1" fontId="22" fillId="0" borderId="43" xfId="0" applyNumberFormat="1" applyFont="1" applyBorder="1" applyAlignment="1">
      <alignment horizontal="center" vertical="top"/>
    </xf>
    <xf numFmtId="0" fontId="13" fillId="0" borderId="43" xfId="0" applyFont="1" applyBorder="1" applyAlignment="1">
      <alignment horizontal="center" vertical="top"/>
    </xf>
    <xf numFmtId="0" fontId="23" fillId="0" borderId="43" xfId="0" applyFont="1" applyBorder="1" applyAlignment="1">
      <alignment horizontal="center" vertical="top"/>
    </xf>
    <xf numFmtId="0" fontId="22" fillId="0" borderId="43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12" fillId="0" borderId="80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1" fontId="13" fillId="0" borderId="80" xfId="0" applyNumberFormat="1" applyFont="1" applyBorder="1" applyAlignment="1">
      <alignment horizontal="center" vertical="top"/>
    </xf>
    <xf numFmtId="0" fontId="20" fillId="0" borderId="80" xfId="0" applyFont="1" applyBorder="1" applyAlignment="1">
      <alignment horizontal="center" vertical="top"/>
    </xf>
    <xf numFmtId="0" fontId="13" fillId="0" borderId="80" xfId="0" applyFont="1" applyBorder="1" applyAlignment="1">
      <alignment horizontal="center" vertical="top"/>
    </xf>
    <xf numFmtId="0" fontId="14" fillId="0" borderId="80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1" fontId="23" fillId="0" borderId="26" xfId="0" applyNumberFormat="1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23" fillId="0" borderId="26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" fillId="0" borderId="80" xfId="0" applyFont="1" applyBorder="1" applyAlignment="1">
      <alignment horizontal="center" vertical="top"/>
    </xf>
    <xf numFmtId="1" fontId="23" fillId="0" borderId="80" xfId="0" applyNumberFormat="1" applyFont="1" applyBorder="1" applyAlignment="1">
      <alignment horizontal="center" vertical="top"/>
    </xf>
    <xf numFmtId="0" fontId="23" fillId="0" borderId="80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1" fontId="13" fillId="0" borderId="26" xfId="0" applyNumberFormat="1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1" fontId="23" fillId="0" borderId="4" xfId="0" applyNumberFormat="1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3" fillId="4" borderId="0" xfId="0" applyFont="1" applyFill="1"/>
    <xf numFmtId="0" fontId="23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80" xfId="0" applyFont="1" applyFill="1" applyBorder="1" applyAlignment="1">
      <alignment horizontal="left" vertical="top" wrapText="1"/>
    </xf>
    <xf numFmtId="0" fontId="8" fillId="4" borderId="80" xfId="0" applyFont="1" applyFill="1" applyBorder="1" applyAlignment="1">
      <alignment horizontal="center" vertical="top"/>
    </xf>
    <xf numFmtId="1" fontId="23" fillId="4" borderId="80" xfId="0" applyNumberFormat="1" applyFont="1" applyFill="1" applyBorder="1" applyAlignment="1">
      <alignment horizontal="center" vertical="top"/>
    </xf>
    <xf numFmtId="0" fontId="20" fillId="4" borderId="80" xfId="0" applyFont="1" applyFill="1" applyBorder="1" applyAlignment="1">
      <alignment horizontal="center" vertical="top"/>
    </xf>
    <xf numFmtId="0" fontId="23" fillId="4" borderId="80" xfId="0" applyFont="1" applyFill="1" applyBorder="1" applyAlignment="1">
      <alignment horizontal="center" vertical="top"/>
    </xf>
    <xf numFmtId="0" fontId="14" fillId="4" borderId="80" xfId="0" applyFont="1" applyFill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center" vertical="top"/>
    </xf>
    <xf numFmtId="0" fontId="71" fillId="0" borderId="43" xfId="0" applyFont="1" applyBorder="1" applyAlignment="1">
      <alignment horizontal="left" vertical="top" wrapText="1"/>
    </xf>
    <xf numFmtId="0" fontId="0" fillId="0" borderId="49" xfId="0" applyBorder="1"/>
    <xf numFmtId="0" fontId="0" fillId="0" borderId="50" xfId="0" applyBorder="1"/>
    <xf numFmtId="0" fontId="0" fillId="0" borderId="3" xfId="0" applyBorder="1"/>
    <xf numFmtId="0" fontId="0" fillId="0" borderId="2" xfId="0" applyBorder="1"/>
    <xf numFmtId="0" fontId="35" fillId="3" borderId="8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0" fillId="0" borderId="104" xfId="0" applyBorder="1"/>
    <xf numFmtId="0" fontId="0" fillId="0" borderId="104" xfId="0" applyBorder="1" applyAlignment="1">
      <alignment wrapText="1"/>
    </xf>
    <xf numFmtId="0" fontId="0" fillId="0" borderId="105" xfId="0" applyBorder="1"/>
    <xf numFmtId="0" fontId="0" fillId="0" borderId="4" xfId="0" applyBorder="1"/>
    <xf numFmtId="0" fontId="54" fillId="3" borderId="104" xfId="0" applyFont="1" applyFill="1" applyBorder="1"/>
    <xf numFmtId="0" fontId="54" fillId="3" borderId="4" xfId="0" applyFont="1" applyFill="1" applyBorder="1"/>
    <xf numFmtId="0" fontId="35" fillId="0" borderId="0" xfId="1" applyFont="1" applyAlignment="1">
      <alignment horizontal="center" vertical="top"/>
    </xf>
    <xf numFmtId="2" fontId="27" fillId="0" borderId="0" xfId="1" applyNumberFormat="1" applyAlignment="1">
      <alignment horizontal="center" vertical="top"/>
    </xf>
    <xf numFmtId="0" fontId="27" fillId="14" borderId="0" xfId="1" applyFill="1" applyAlignment="1">
      <alignment horizontal="center"/>
    </xf>
    <xf numFmtId="0" fontId="35" fillId="14" borderId="0" xfId="1" applyFont="1" applyFill="1" applyAlignment="1">
      <alignment horizontal="center"/>
    </xf>
    <xf numFmtId="2" fontId="27" fillId="0" borderId="43" xfId="6" applyNumberFormat="1" applyFont="1" applyBorder="1" applyAlignment="1">
      <alignment vertical="top"/>
    </xf>
    <xf numFmtId="2" fontId="27" fillId="0" borderId="43" xfId="1" applyNumberFormat="1" applyBorder="1" applyAlignment="1">
      <alignment vertical="top"/>
    </xf>
    <xf numFmtId="0" fontId="35" fillId="14" borderId="8" xfId="1" applyFont="1" applyFill="1" applyBorder="1" applyAlignment="1">
      <alignment horizontal="center"/>
    </xf>
    <xf numFmtId="0" fontId="27" fillId="14" borderId="8" xfId="1" applyFill="1" applyBorder="1" applyAlignment="1">
      <alignment horizontal="center"/>
    </xf>
    <xf numFmtId="0" fontId="0" fillId="14" borderId="8" xfId="0" applyFill="1" applyBorder="1"/>
    <xf numFmtId="0" fontId="0" fillId="0" borderId="106" xfId="0" applyBorder="1"/>
    <xf numFmtId="0" fontId="0" fillId="0" borderId="107" xfId="0" applyBorder="1"/>
    <xf numFmtId="0" fontId="27" fillId="14" borderId="0" xfId="1" applyFill="1"/>
    <xf numFmtId="0" fontId="35" fillId="14" borderId="0" xfId="1" applyFont="1" applyFill="1"/>
    <xf numFmtId="0" fontId="35" fillId="3" borderId="0" xfId="1" applyFont="1" applyFill="1" applyAlignment="1">
      <alignment horizontal="center" vertical="center"/>
    </xf>
    <xf numFmtId="2" fontId="27" fillId="0" borderId="0" xfId="1" applyNumberFormat="1"/>
    <xf numFmtId="2" fontId="35" fillId="14" borderId="0" xfId="1" applyNumberFormat="1" applyFont="1" applyFill="1"/>
    <xf numFmtId="0" fontId="35" fillId="14" borderId="4" xfId="0" applyFont="1" applyFill="1" applyBorder="1" applyAlignment="1">
      <alignment horizontal="center"/>
    </xf>
    <xf numFmtId="0" fontId="35" fillId="14" borderId="8" xfId="0" applyFont="1" applyFill="1" applyBorder="1" applyAlignment="1">
      <alignment horizontal="center"/>
    </xf>
    <xf numFmtId="0" fontId="35" fillId="14" borderId="4" xfId="1" applyFont="1" applyFill="1" applyBorder="1" applyAlignment="1">
      <alignment horizontal="center" vertical="top"/>
    </xf>
    <xf numFmtId="2" fontId="27" fillId="14" borderId="0" xfId="1" applyNumberFormat="1" applyFill="1"/>
    <xf numFmtId="2" fontId="27" fillId="14" borderId="8" xfId="6" applyNumberFormat="1" applyFont="1" applyFill="1" applyBorder="1" applyAlignment="1">
      <alignment vertical="top"/>
    </xf>
    <xf numFmtId="0" fontId="2" fillId="6" borderId="41" xfId="0" applyFont="1" applyFill="1" applyBorder="1" applyAlignment="1">
      <alignment horizontal="center" vertical="top" wrapText="1"/>
    </xf>
    <xf numFmtId="0" fontId="2" fillId="6" borderId="42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35" fillId="5" borderId="21" xfId="0" applyFont="1" applyFill="1" applyBorder="1" applyAlignment="1">
      <alignment horizontal="center" vertical="top"/>
    </xf>
    <xf numFmtId="0" fontId="2" fillId="7" borderId="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 wrapText="1"/>
    </xf>
    <xf numFmtId="0" fontId="2" fillId="6" borderId="31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vertical="top" wrapText="1"/>
    </xf>
    <xf numFmtId="0" fontId="2" fillId="7" borderId="29" xfId="0" applyFont="1" applyFill="1" applyBorder="1" applyAlignment="1">
      <alignment vertical="top" wrapText="1"/>
    </xf>
    <xf numFmtId="0" fontId="2" fillId="5" borderId="33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0" fontId="26" fillId="0" borderId="0" xfId="0" applyFont="1" applyAlignment="1">
      <alignment horizontal="center" vertical="top"/>
    </xf>
    <xf numFmtId="0" fontId="26" fillId="5" borderId="33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0" fontId="35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34" fillId="2" borderId="0" xfId="0" applyFont="1" applyFill="1" applyAlignment="1">
      <alignment horizontal="center" vertical="center"/>
    </xf>
    <xf numFmtId="0" fontId="35" fillId="0" borderId="8" xfId="0" applyFont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/>
    </xf>
    <xf numFmtId="0" fontId="37" fillId="0" borderId="0" xfId="1" applyFont="1" applyAlignment="1">
      <alignment horizontal="center"/>
    </xf>
    <xf numFmtId="0" fontId="35" fillId="14" borderId="0" xfId="1" applyFont="1" applyFill="1" applyAlignment="1">
      <alignment horizontal="center"/>
    </xf>
    <xf numFmtId="0" fontId="46" fillId="0" borderId="14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textRotation="255" wrapText="1"/>
    </xf>
    <xf numFmtId="0" fontId="35" fillId="3" borderId="8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16" xfId="0" applyFont="1" applyBorder="1" applyAlignment="1">
      <alignment horizontal="center" vertical="center" textRotation="255" wrapText="1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top"/>
    </xf>
    <xf numFmtId="0" fontId="26" fillId="4" borderId="47" xfId="0" applyFont="1" applyFill="1" applyBorder="1" applyAlignment="1">
      <alignment horizontal="center" vertical="top"/>
    </xf>
    <xf numFmtId="0" fontId="26" fillId="4" borderId="48" xfId="0" applyFont="1" applyFill="1" applyBorder="1" applyAlignment="1">
      <alignment horizontal="center" vertical="top"/>
    </xf>
    <xf numFmtId="0" fontId="26" fillId="4" borderId="25" xfId="0" applyFont="1" applyFill="1" applyBorder="1" applyAlignment="1">
      <alignment horizontal="center" vertical="top"/>
    </xf>
    <xf numFmtId="0" fontId="26" fillId="4" borderId="3" xfId="0" applyFont="1" applyFill="1" applyBorder="1" applyAlignment="1">
      <alignment horizontal="center" vertical="top"/>
    </xf>
    <xf numFmtId="0" fontId="26" fillId="4" borderId="32" xfId="0" applyFont="1" applyFill="1" applyBorder="1" applyAlignment="1">
      <alignment horizontal="center" vertical="top"/>
    </xf>
    <xf numFmtId="0" fontId="26" fillId="6" borderId="41" xfId="0" applyFont="1" applyFill="1" applyBorder="1" applyAlignment="1">
      <alignment horizontal="center" vertical="top" wrapText="1"/>
    </xf>
    <xf numFmtId="0" fontId="26" fillId="6" borderId="47" xfId="0" applyFont="1" applyFill="1" applyBorder="1" applyAlignment="1">
      <alignment horizontal="center" vertical="top" wrapText="1"/>
    </xf>
    <xf numFmtId="0" fontId="25" fillId="6" borderId="48" xfId="0" applyFont="1" applyFill="1" applyBorder="1" applyAlignment="1">
      <alignment horizontal="center" vertical="top" wrapText="1"/>
    </xf>
    <xf numFmtId="0" fontId="25" fillId="6" borderId="25" xfId="0" applyFont="1" applyFill="1" applyBorder="1" applyAlignment="1">
      <alignment horizontal="center" vertical="top" wrapText="1"/>
    </xf>
    <xf numFmtId="0" fontId="26" fillId="6" borderId="3" xfId="0" applyFont="1" applyFill="1" applyBorder="1" applyAlignment="1">
      <alignment horizontal="center" vertical="top" wrapText="1"/>
    </xf>
    <xf numFmtId="0" fontId="26" fillId="6" borderId="3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26" fillId="5" borderId="32" xfId="0" applyFont="1" applyFill="1" applyBorder="1" applyAlignment="1">
      <alignment horizontal="center" vertical="top"/>
    </xf>
    <xf numFmtId="0" fontId="7" fillId="5" borderId="48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26" fillId="7" borderId="41" xfId="0" applyFont="1" applyFill="1" applyBorder="1" applyAlignment="1">
      <alignment horizontal="center" vertical="top"/>
    </xf>
    <xf numFmtId="0" fontId="26" fillId="7" borderId="47" xfId="0" applyFont="1" applyFill="1" applyBorder="1" applyAlignment="1">
      <alignment horizontal="center" vertical="top"/>
    </xf>
    <xf numFmtId="0" fontId="26" fillId="7" borderId="2" xfId="0" applyFont="1" applyFill="1" applyBorder="1" applyAlignment="1">
      <alignment horizontal="center" vertical="top"/>
    </xf>
    <xf numFmtId="0" fontId="26" fillId="7" borderId="108" xfId="0" applyFont="1" applyFill="1" applyBorder="1" applyAlignment="1">
      <alignment horizontal="center" vertical="top"/>
    </xf>
    <xf numFmtId="0" fontId="26" fillId="7" borderId="3" xfId="0" applyFont="1" applyFill="1" applyBorder="1" applyAlignment="1">
      <alignment horizontal="center" vertical="top"/>
    </xf>
    <xf numFmtId="0" fontId="26" fillId="7" borderId="32" xfId="0" applyFont="1" applyFill="1" applyBorder="1" applyAlignment="1">
      <alignment horizontal="center" vertical="top"/>
    </xf>
    <xf numFmtId="0" fontId="35" fillId="2" borderId="44" xfId="0" applyFont="1" applyFill="1" applyBorder="1" applyAlignment="1">
      <alignment horizontal="center" vertical="top"/>
    </xf>
    <xf numFmtId="0" fontId="35" fillId="2" borderId="45" xfId="0" applyFont="1" applyFill="1" applyBorder="1" applyAlignment="1">
      <alignment horizontal="center" vertical="top"/>
    </xf>
    <xf numFmtId="0" fontId="35" fillId="2" borderId="46" xfId="0" applyFont="1" applyFill="1" applyBorder="1" applyAlignment="1">
      <alignment horizontal="center" vertical="top"/>
    </xf>
    <xf numFmtId="0" fontId="35" fillId="2" borderId="27" xfId="0" applyFont="1" applyFill="1" applyBorder="1" applyAlignment="1">
      <alignment horizontal="center" vertical="top" textRotation="255"/>
    </xf>
    <xf numFmtId="0" fontId="35" fillId="2" borderId="22" xfId="0" applyFont="1" applyFill="1" applyBorder="1" applyAlignment="1">
      <alignment horizontal="center" vertical="top" textRotation="255"/>
    </xf>
    <xf numFmtId="0" fontId="35" fillId="2" borderId="38" xfId="0" applyFont="1" applyFill="1" applyBorder="1" applyAlignment="1">
      <alignment horizontal="center" vertical="top" textRotation="255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top" textRotation="255"/>
    </xf>
    <xf numFmtId="0" fontId="26" fillId="5" borderId="41" xfId="0" applyFont="1" applyFill="1" applyBorder="1" applyAlignment="1">
      <alignment horizontal="center" vertical="top"/>
    </xf>
    <xf numFmtId="0" fontId="26" fillId="5" borderId="47" xfId="0" applyFont="1" applyFill="1" applyBorder="1" applyAlignment="1">
      <alignment horizontal="center" vertical="top"/>
    </xf>
    <xf numFmtId="0" fontId="26" fillId="5" borderId="3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59" fillId="0" borderId="0" xfId="10" applyFont="1" applyAlignment="1">
      <alignment horizontal="center" vertical="center"/>
    </xf>
    <xf numFmtId="0" fontId="55" fillId="0" borderId="0" xfId="10" applyFont="1"/>
    <xf numFmtId="171" fontId="55" fillId="7" borderId="83" xfId="10" applyNumberFormat="1" applyFont="1" applyFill="1" applyBorder="1" applyAlignment="1">
      <alignment horizontal="center" vertical="center" wrapText="1"/>
    </xf>
    <xf numFmtId="171" fontId="55" fillId="7" borderId="84" xfId="10" applyNumberFormat="1" applyFont="1" applyFill="1" applyBorder="1" applyAlignment="1">
      <alignment horizontal="center" vertical="center" wrapText="1"/>
    </xf>
    <xf numFmtId="0" fontId="56" fillId="0" borderId="59" xfId="10" applyFont="1" applyBorder="1" applyAlignment="1">
      <alignment horizontal="left" vertical="center"/>
    </xf>
    <xf numFmtId="0" fontId="56" fillId="0" borderId="58" xfId="10" applyFont="1" applyBorder="1" applyAlignment="1">
      <alignment horizontal="left" vertical="center"/>
    </xf>
    <xf numFmtId="0" fontId="56" fillId="0" borderId="85" xfId="10" applyFont="1" applyBorder="1" applyAlignment="1">
      <alignment horizontal="left" vertical="center"/>
    </xf>
    <xf numFmtId="0" fontId="56" fillId="0" borderId="7" xfId="10" applyFont="1" applyBorder="1" applyAlignment="1">
      <alignment horizontal="left" vertical="center"/>
    </xf>
    <xf numFmtId="0" fontId="56" fillId="0" borderId="10" xfId="10" applyFont="1" applyBorder="1" applyAlignment="1">
      <alignment horizontal="left" vertical="center"/>
    </xf>
    <xf numFmtId="174" fontId="55" fillId="7" borderId="5" xfId="8" applyNumberFormat="1" applyFont="1" applyFill="1" applyBorder="1" applyAlignment="1" applyProtection="1">
      <alignment horizontal="center"/>
    </xf>
    <xf numFmtId="171" fontId="55" fillId="5" borderId="84" xfId="10" applyNumberFormat="1" applyFont="1" applyFill="1" applyBorder="1" applyAlignment="1">
      <alignment horizontal="center" vertical="center" wrapText="1"/>
    </xf>
    <xf numFmtId="0" fontId="56" fillId="0" borderId="0" xfId="10" applyFont="1" applyAlignment="1">
      <alignment horizontal="left" vertical="center"/>
    </xf>
    <xf numFmtId="174" fontId="55" fillId="5" borderId="5" xfId="8" applyNumberFormat="1" applyFont="1" applyFill="1" applyBorder="1" applyAlignment="1" applyProtection="1">
      <alignment horizontal="center"/>
    </xf>
    <xf numFmtId="0" fontId="61" fillId="12" borderId="53" xfId="10" applyFont="1" applyFill="1" applyBorder="1" applyAlignment="1">
      <alignment horizontal="center" vertical="center"/>
    </xf>
    <xf numFmtId="0" fontId="61" fillId="12" borderId="57" xfId="10" applyFont="1" applyFill="1" applyBorder="1" applyAlignment="1">
      <alignment horizontal="center" vertical="center"/>
    </xf>
    <xf numFmtId="0" fontId="61" fillId="12" borderId="54" xfId="10" applyFont="1" applyFill="1" applyBorder="1" applyAlignment="1">
      <alignment horizontal="center" vertical="center"/>
    </xf>
    <xf numFmtId="0" fontId="61" fillId="12" borderId="56" xfId="10" applyFont="1" applyFill="1" applyBorder="1" applyAlignment="1">
      <alignment horizontal="center" vertical="center"/>
    </xf>
    <xf numFmtId="174" fontId="55" fillId="14" borderId="11" xfId="8" applyNumberFormat="1" applyFont="1" applyFill="1" applyBorder="1" applyAlignment="1" applyProtection="1">
      <alignment horizontal="center"/>
    </xf>
    <xf numFmtId="177" fontId="61" fillId="12" borderId="62" xfId="8" applyNumberFormat="1" applyFont="1" applyFill="1" applyBorder="1" applyAlignment="1" applyProtection="1">
      <alignment horizontal="center" vertical="center"/>
    </xf>
    <xf numFmtId="171" fontId="55" fillId="13" borderId="84" xfId="10" applyNumberFormat="1" applyFont="1" applyFill="1" applyBorder="1" applyAlignment="1">
      <alignment horizontal="center" vertical="center" wrapText="1"/>
    </xf>
    <xf numFmtId="174" fontId="55" fillId="13" borderId="5" xfId="8" applyNumberFormat="1" applyFont="1" applyFill="1" applyBorder="1" applyAlignment="1" applyProtection="1">
      <alignment horizontal="center"/>
    </xf>
    <xf numFmtId="0" fontId="60" fillId="0" borderId="8" xfId="0" applyFont="1" applyBorder="1" applyAlignment="1">
      <alignment horizontal="left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8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3" borderId="8" xfId="0" applyFont="1" applyFill="1" applyBorder="1" applyAlignment="1">
      <alignment horizontal="center" vertical="center" wrapText="1"/>
    </xf>
    <xf numFmtId="0" fontId="61" fillId="8" borderId="8" xfId="10" applyFont="1" applyFill="1" applyBorder="1" applyAlignment="1">
      <alignment vertical="center" wrapText="1"/>
    </xf>
    <xf numFmtId="0" fontId="55" fillId="0" borderId="8" xfId="10" applyFont="1" applyBorder="1" applyAlignment="1">
      <alignment vertical="center"/>
    </xf>
    <xf numFmtId="0" fontId="66" fillId="0" borderId="8" xfId="10" applyFont="1" applyBorder="1" applyAlignment="1">
      <alignment vertical="center"/>
    </xf>
    <xf numFmtId="0" fontId="55" fillId="0" borderId="93" xfId="10" applyFont="1" applyBorder="1" applyAlignment="1">
      <alignment vertical="center"/>
    </xf>
    <xf numFmtId="0" fontId="66" fillId="0" borderId="93" xfId="10" applyFont="1" applyBorder="1" applyAlignment="1">
      <alignment vertical="center"/>
    </xf>
    <xf numFmtId="0" fontId="55" fillId="16" borderId="57" xfId="10" applyFont="1" applyFill="1" applyBorder="1" applyAlignment="1">
      <alignment horizontal="center" vertical="center"/>
    </xf>
    <xf numFmtId="0" fontId="55" fillId="16" borderId="76" xfId="10" applyFont="1" applyFill="1" applyBorder="1" applyAlignment="1">
      <alignment horizontal="center" vertical="center"/>
    </xf>
    <xf numFmtId="0" fontId="55" fillId="16" borderId="77" xfId="10" applyFont="1" applyFill="1" applyBorder="1" applyAlignment="1">
      <alignment horizontal="center" vertical="center"/>
    </xf>
    <xf numFmtId="0" fontId="61" fillId="12" borderId="55" xfId="10" applyFont="1" applyFill="1" applyBorder="1" applyAlignment="1">
      <alignment horizontal="center" vertical="center"/>
    </xf>
    <xf numFmtId="0" fontId="61" fillId="12" borderId="64" xfId="10" applyFont="1" applyFill="1" applyBorder="1" applyAlignment="1">
      <alignment horizontal="center" vertical="center" wrapText="1"/>
    </xf>
    <xf numFmtId="0" fontId="61" fillId="12" borderId="65" xfId="10" applyFont="1" applyFill="1" applyBorder="1" applyAlignment="1">
      <alignment horizontal="center" vertical="center" wrapText="1"/>
    </xf>
    <xf numFmtId="0" fontId="61" fillId="12" borderId="0" xfId="10" applyFont="1" applyFill="1" applyAlignment="1">
      <alignment horizontal="center" vertical="center" wrapText="1"/>
    </xf>
    <xf numFmtId="0" fontId="61" fillId="12" borderId="81" xfId="10" applyFont="1" applyFill="1" applyBorder="1" applyAlignment="1">
      <alignment horizontal="center" vertical="center" wrapText="1"/>
    </xf>
    <xf numFmtId="0" fontId="61" fillId="12" borderId="54" xfId="10" applyFont="1" applyFill="1" applyBorder="1" applyAlignment="1">
      <alignment horizontal="center" vertical="center" wrapText="1"/>
    </xf>
    <xf numFmtId="0" fontId="61" fillId="12" borderId="88" xfId="10" applyFont="1" applyFill="1" applyBorder="1" applyAlignment="1">
      <alignment horizontal="center" vertical="center" wrapText="1"/>
    </xf>
    <xf numFmtId="0" fontId="55" fillId="0" borderId="90" xfId="10" applyFont="1" applyBorder="1" applyAlignment="1">
      <alignment vertical="center"/>
    </xf>
    <xf numFmtId="43" fontId="61" fillId="12" borderId="52" xfId="9" applyFont="1" applyFill="1" applyBorder="1" applyAlignment="1" applyProtection="1">
      <alignment horizontal="right" vertical="center"/>
    </xf>
    <xf numFmtId="43" fontId="61" fillId="12" borderId="62" xfId="9" applyFont="1" applyFill="1" applyBorder="1" applyAlignment="1" applyProtection="1">
      <alignment horizontal="right" vertical="center"/>
    </xf>
    <xf numFmtId="43" fontId="61" fillId="12" borderId="63" xfId="9" applyFont="1" applyFill="1" applyBorder="1" applyAlignment="1" applyProtection="1">
      <alignment horizontal="right" vertical="center"/>
    </xf>
    <xf numFmtId="0" fontId="55" fillId="0" borderId="52" xfId="10" applyFont="1" applyBorder="1" applyAlignment="1">
      <alignment vertical="center"/>
    </xf>
    <xf numFmtId="0" fontId="55" fillId="0" borderId="62" xfId="10" applyFont="1" applyBorder="1" applyAlignment="1">
      <alignment vertical="center"/>
    </xf>
    <xf numFmtId="0" fontId="55" fillId="0" borderId="63" xfId="10" applyFont="1" applyBorder="1" applyAlignment="1">
      <alignment vertical="center"/>
    </xf>
    <xf numFmtId="0" fontId="61" fillId="12" borderId="52" xfId="10" applyFont="1" applyFill="1" applyBorder="1" applyAlignment="1">
      <alignment horizontal="right" vertical="center"/>
    </xf>
    <xf numFmtId="0" fontId="61" fillId="12" borderId="63" xfId="10" applyFont="1" applyFill="1" applyBorder="1" applyAlignment="1">
      <alignment horizontal="right" vertical="center"/>
    </xf>
    <xf numFmtId="0" fontId="61" fillId="12" borderId="62" xfId="10" applyFont="1" applyFill="1" applyBorder="1" applyAlignment="1">
      <alignment horizontal="right" vertical="center"/>
    </xf>
    <xf numFmtId="0" fontId="65" fillId="12" borderId="62" xfId="10" applyFont="1" applyFill="1" applyBorder="1" applyAlignment="1">
      <alignment horizontal="right" vertical="center"/>
    </xf>
    <xf numFmtId="0" fontId="65" fillId="12" borderId="63" xfId="10" applyFont="1" applyFill="1" applyBorder="1" applyAlignment="1">
      <alignment horizontal="right" vertical="center"/>
    </xf>
    <xf numFmtId="171" fontId="55" fillId="14" borderId="84" xfId="10" applyNumberFormat="1" applyFont="1" applyFill="1" applyBorder="1" applyAlignment="1">
      <alignment horizontal="center" vertical="center" wrapText="1"/>
    </xf>
    <xf numFmtId="171" fontId="55" fillId="14" borderId="79" xfId="10" applyNumberFormat="1" applyFont="1" applyFill="1" applyBorder="1" applyAlignment="1">
      <alignment horizontal="center" vertical="center" wrapText="1"/>
    </xf>
    <xf numFmtId="0" fontId="61" fillId="11" borderId="8" xfId="10" applyFont="1" applyFill="1" applyBorder="1" applyAlignment="1">
      <alignment vertical="center" wrapText="1"/>
    </xf>
    <xf numFmtId="0" fontId="62" fillId="0" borderId="8" xfId="10" applyFont="1" applyBorder="1" applyAlignment="1">
      <alignment vertical="center" wrapText="1"/>
    </xf>
    <xf numFmtId="0" fontId="61" fillId="12" borderId="53" xfId="10" applyFont="1" applyFill="1" applyBorder="1" applyAlignment="1">
      <alignment horizontal="center" vertical="center" wrapText="1"/>
    </xf>
    <xf numFmtId="0" fontId="61" fillId="12" borderId="55" xfId="10" applyFont="1" applyFill="1" applyBorder="1" applyAlignment="1">
      <alignment horizontal="center" vertical="center" wrapText="1"/>
    </xf>
    <xf numFmtId="171" fontId="56" fillId="0" borderId="95" xfId="10" applyNumberFormat="1" applyFont="1" applyBorder="1" applyAlignment="1">
      <alignment horizontal="center" vertical="center"/>
    </xf>
    <xf numFmtId="171" fontId="56" fillId="0" borderId="96" xfId="10" applyNumberFormat="1" applyFont="1" applyBorder="1" applyAlignment="1">
      <alignment horizontal="center" vertical="center"/>
    </xf>
    <xf numFmtId="171" fontId="56" fillId="0" borderId="97" xfId="10" applyNumberFormat="1" applyFont="1" applyBorder="1" applyAlignment="1">
      <alignment horizontal="center" vertical="center"/>
    </xf>
    <xf numFmtId="0" fontId="61" fillId="9" borderId="8" xfId="10" applyFont="1" applyFill="1" applyBorder="1" applyAlignment="1">
      <alignment vertical="center" wrapText="1"/>
    </xf>
    <xf numFmtId="0" fontId="62" fillId="9" borderId="8" xfId="10" applyFont="1" applyFill="1" applyBorder="1" applyAlignment="1">
      <alignment vertical="center" wrapText="1"/>
    </xf>
    <xf numFmtId="15" fontId="60" fillId="0" borderId="8" xfId="0" applyNumberFormat="1" applyFont="1" applyBorder="1" applyAlignment="1">
      <alignment horizontal="left" vertical="center" wrapText="1"/>
    </xf>
    <xf numFmtId="9" fontId="63" fillId="0" borderId="2" xfId="8" applyFont="1" applyFill="1" applyBorder="1" applyAlignment="1" applyProtection="1">
      <alignment horizontal="center" vertical="center"/>
    </xf>
    <xf numFmtId="9" fontId="63" fillId="0" borderId="11" xfId="8" applyFont="1" applyFill="1" applyBorder="1" applyAlignment="1" applyProtection="1">
      <alignment horizontal="center" vertical="center"/>
    </xf>
    <xf numFmtId="9" fontId="63" fillId="0" borderId="80" xfId="8" applyFont="1" applyFill="1" applyBorder="1" applyAlignment="1" applyProtection="1">
      <alignment horizontal="center" vertical="center"/>
    </xf>
    <xf numFmtId="9" fontId="63" fillId="0" borderId="10" xfId="8" applyFont="1" applyFill="1" applyBorder="1" applyAlignment="1" applyProtection="1">
      <alignment horizontal="center" vertical="center"/>
    </xf>
    <xf numFmtId="9" fontId="63" fillId="0" borderId="18" xfId="8" applyFont="1" applyFill="1" applyBorder="1" applyAlignment="1" applyProtection="1">
      <alignment horizontal="center" vertical="center"/>
    </xf>
    <xf numFmtId="9" fontId="63" fillId="0" borderId="26" xfId="8" applyFont="1" applyFill="1" applyBorder="1" applyAlignment="1" applyProtection="1">
      <alignment horizontal="center" vertical="center"/>
    </xf>
    <xf numFmtId="0" fontId="63" fillId="3" borderId="8" xfId="0" applyFont="1" applyFill="1" applyBorder="1" applyAlignment="1">
      <alignment horizontal="center" vertical="center" wrapText="1"/>
    </xf>
    <xf numFmtId="0" fontId="61" fillId="10" borderId="8" xfId="10" applyFont="1" applyFill="1" applyBorder="1" applyAlignment="1">
      <alignment vertical="center" wrapText="1"/>
    </xf>
    <xf numFmtId="0" fontId="62" fillId="10" borderId="8" xfId="10" applyFont="1" applyFill="1" applyBorder="1" applyAlignment="1">
      <alignment vertical="center" wrapText="1"/>
    </xf>
    <xf numFmtId="0" fontId="60" fillId="4" borderId="8" xfId="10" applyFont="1" applyFill="1" applyBorder="1" applyAlignment="1">
      <alignment vertical="center" wrapText="1"/>
    </xf>
    <xf numFmtId="0" fontId="64" fillId="0" borderId="8" xfId="10" applyFont="1" applyBorder="1" applyAlignment="1">
      <alignment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9" fontId="63" fillId="0" borderId="3" xfId="0" applyNumberFormat="1" applyFont="1" applyBorder="1" applyAlignment="1">
      <alignment horizontal="center" vertical="center" wrapText="1"/>
    </xf>
    <xf numFmtId="9" fontId="63" fillId="0" borderId="5" xfId="0" applyNumberFormat="1" applyFont="1" applyBorder="1" applyAlignment="1">
      <alignment horizontal="center" vertical="center" wrapText="1"/>
    </xf>
    <xf numFmtId="9" fontId="63" fillId="0" borderId="4" xfId="0" applyNumberFormat="1" applyFont="1" applyBorder="1" applyAlignment="1">
      <alignment horizontal="center" vertical="center" wrapText="1"/>
    </xf>
    <xf numFmtId="171" fontId="56" fillId="0" borderId="99" xfId="10" applyNumberFormat="1" applyFont="1" applyBorder="1" applyAlignment="1">
      <alignment horizontal="center" vertical="center"/>
    </xf>
    <xf numFmtId="171" fontId="56" fillId="0" borderId="98" xfId="10" applyNumberFormat="1" applyFont="1" applyBorder="1" applyAlignment="1">
      <alignment horizontal="center" vertical="center"/>
    </xf>
    <xf numFmtId="171" fontId="56" fillId="0" borderId="100" xfId="10" applyNumberFormat="1" applyFont="1" applyBorder="1" applyAlignment="1">
      <alignment horizontal="center" vertical="center"/>
    </xf>
    <xf numFmtId="171" fontId="56" fillId="0" borderId="101" xfId="10" applyNumberFormat="1" applyFont="1" applyBorder="1" applyAlignment="1">
      <alignment horizontal="center" vertical="center"/>
    </xf>
    <xf numFmtId="171" fontId="56" fillId="0" borderId="102" xfId="10" applyNumberFormat="1" applyFont="1" applyBorder="1" applyAlignment="1">
      <alignment horizontal="center" vertical="center"/>
    </xf>
    <xf numFmtId="171" fontId="56" fillId="0" borderId="103" xfId="10" applyNumberFormat="1" applyFont="1" applyBorder="1" applyAlignment="1">
      <alignment horizontal="center" vertical="center"/>
    </xf>
    <xf numFmtId="0" fontId="70" fillId="0" borderId="8" xfId="13" applyFont="1" applyBorder="1" applyAlignment="1">
      <alignment horizontal="center" vertical="center" wrapText="1"/>
    </xf>
    <xf numFmtId="0" fontId="2" fillId="0" borderId="8" xfId="13" applyBorder="1" applyAlignment="1">
      <alignment horizontal="center" vertical="center"/>
    </xf>
    <xf numFmtId="0" fontId="70" fillId="0" borderId="8" xfId="13" applyFont="1" applyBorder="1" applyAlignment="1">
      <alignment horizontal="left" vertical="center" wrapText="1"/>
    </xf>
    <xf numFmtId="0" fontId="2" fillId="0" borderId="8" xfId="13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35" fillId="18" borderId="0" xfId="0" applyFont="1" applyFill="1" applyAlignment="1">
      <alignment horizontal="center" vertical="center"/>
    </xf>
    <xf numFmtId="0" fontId="35" fillId="1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5" fillId="18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left" vertical="center" wrapText="1"/>
    </xf>
  </cellXfs>
  <cellStyles count="15">
    <cellStyle name="Comma" xfId="5" builtinId="3"/>
    <cellStyle name="Comma [0]" xfId="2" builtinId="6"/>
    <cellStyle name="Comma 2" xfId="9" xr:uid="{334C22B4-CEF3-469D-9AA8-90528C1B8527}"/>
    <cellStyle name="Comma 3" xfId="12" xr:uid="{BC2C94C5-6B6A-45BF-8B77-B0BC0C1C8B05}"/>
    <cellStyle name="Normal" xfId="0" builtinId="0"/>
    <cellStyle name="Normal 2" xfId="1" xr:uid="{00000000-0005-0000-0000-000002000000}"/>
    <cellStyle name="Normal 2 2" xfId="3" xr:uid="{D726FBFB-B8E8-4927-B44A-56CA8997E27C}"/>
    <cellStyle name="Normal 2 3" xfId="4" xr:uid="{8026BE90-BB21-41F1-87EB-B6F3F67F4786}"/>
    <cellStyle name="Normal 2 4" xfId="10" xr:uid="{6825D5C0-0394-4DF7-AA98-1B78A429F56D}"/>
    <cellStyle name="Normal 2 5" xfId="14" xr:uid="{D08E4E34-2109-43A4-AFA1-4244A55D4E7F}"/>
    <cellStyle name="Normal 3" xfId="7" xr:uid="{8AC8EBB7-2FB4-484A-9637-1E22FEC9C9EE}"/>
    <cellStyle name="Normal 4" xfId="13" xr:uid="{402A3641-7BDB-4F4D-BC60-A85B67BAC5E1}"/>
    <cellStyle name="Percent" xfId="6" builtinId="5"/>
    <cellStyle name="Percent 2" xfId="8" xr:uid="{F0466D44-EEAF-4B8D-A47F-1D7538F4008E}"/>
    <cellStyle name="Percent 3" xfId="11" xr:uid="{607B76FB-ABD2-4171-AA60-5C9D167AA08B}"/>
  </cellStyles>
  <dxfs count="2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wrapText="1"/>
    </dxf>
    <dxf>
      <alignment wrapText="1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top style="thin">
          <color indexed="64"/>
        </top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0A7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Diagram Posisi</a:t>
            </a:r>
            <a:r>
              <a:rPr lang="en-US" b="1" baseline="0">
                <a:solidFill>
                  <a:srgbClr val="002060"/>
                </a:solidFill>
              </a:rPr>
              <a:t> CINT Pada </a:t>
            </a:r>
            <a:r>
              <a:rPr lang="en-US" b="1">
                <a:solidFill>
                  <a:srgbClr val="002060"/>
                </a:solidFill>
              </a:rPr>
              <a:t>SWOT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347488256200289E-2"/>
          <c:y val="0.17634259259259263"/>
          <c:w val="0.9262751259965849"/>
          <c:h val="0.77736111111111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Sheet1!$C$8</c:f>
              <c:strCache>
                <c:ptCount val="1"/>
                <c:pt idx="0">
                  <c:v>Y</c:v>
                </c:pt>
              </c:strCache>
            </c:strRef>
          </c:tx>
          <c:spPr>
            <a:ln w="9525" cap="rnd">
              <a:solidFill>
                <a:schemeClr val="dk1"/>
              </a:solidFill>
              <a:round/>
            </a:ln>
            <a:effectLst/>
          </c:spPr>
          <c:marker>
            <c:symbol val="none"/>
          </c:marker>
          <c:xVal>
            <c:numRef>
              <c:f>Sheet1!$B$9:$B$12</c:f>
              <c:numCache>
                <c:formatCode>0.00</c:formatCode>
                <c:ptCount val="4"/>
                <c:pt idx="0">
                  <c:v>3.748947368421053</c:v>
                </c:pt>
                <c:pt idx="1">
                  <c:v>3.748947368421053</c:v>
                </c:pt>
                <c:pt idx="2">
                  <c:v>-3.2</c:v>
                </c:pt>
                <c:pt idx="3">
                  <c:v>-3.2</c:v>
                </c:pt>
              </c:numCache>
            </c:numRef>
          </c:xVal>
          <c:yVal>
            <c:numRef>
              <c:f>Sheet1!$C$9:$C$12</c:f>
              <c:numCache>
                <c:formatCode>0.00</c:formatCode>
                <c:ptCount val="4"/>
                <c:pt idx="0">
                  <c:v>3.7</c:v>
                </c:pt>
                <c:pt idx="1">
                  <c:v>-3.2733333333333339</c:v>
                </c:pt>
                <c:pt idx="2">
                  <c:v>-3.27</c:v>
                </c:pt>
                <c:pt idx="3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7-40EF-BE41-CD2950EA1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258672"/>
        <c:axId val="419259752"/>
      </c:scatterChart>
      <c:valAx>
        <c:axId val="419258672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59752"/>
        <c:crosses val="autoZero"/>
        <c:crossBetween val="midCat"/>
      </c:valAx>
      <c:valAx>
        <c:axId val="4192597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58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000" b="1">
                <a:solidFill>
                  <a:sysClr val="windowText" lastClr="000000"/>
                </a:solidFill>
              </a:rPr>
              <a:t>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742813719240401E-2"/>
          <c:y val="7.9855446017221429E-2"/>
          <c:w val="0.89345044932161799"/>
          <c:h val="0.86372462659543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Sheet1!$B$15:$B$16</c:f>
              <c:numCache>
                <c:formatCode>0.00</c:formatCode>
                <c:ptCount val="2"/>
                <c:pt idx="0">
                  <c:v>0.55000000000000004</c:v>
                </c:pt>
              </c:numCache>
            </c:numRef>
          </c:xVal>
          <c:yVal>
            <c:numRef>
              <c:f>Sheet1!$C$15:$C$16</c:f>
              <c:numCache>
                <c:formatCode>0.00</c:formatCode>
                <c:ptCount val="2"/>
                <c:pt idx="0">
                  <c:v>0.43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B4-47AC-B91F-17C55B8F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032704"/>
        <c:axId val="555033424"/>
      </c:scatterChart>
      <c:valAx>
        <c:axId val="555032704"/>
        <c:scaling>
          <c:orientation val="minMax"/>
          <c:max val="4"/>
          <c:min val="-4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033424"/>
        <c:crosses val="autoZero"/>
        <c:crossBetween val="midCat"/>
        <c:majorUnit val="1"/>
        <c:minorUnit val="1"/>
      </c:valAx>
      <c:valAx>
        <c:axId val="555033424"/>
        <c:scaling>
          <c:orientation val="minMax"/>
          <c:max val="4"/>
          <c:min val="-4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032704"/>
        <c:crosses val="autoZero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234463</xdr:colOff>
      <xdr:row>13</xdr:row>
      <xdr:rowOff>302559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7987977" y="4971726"/>
          <a:ext cx="313428" cy="217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278717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709024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278718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498790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330427</xdr:colOff>
      <xdr:row>8</xdr:row>
      <xdr:rowOff>514780</xdr:rowOff>
    </xdr:from>
    <xdr:to>
      <xdr:col>14</xdr:col>
      <xdr:colOff>386542</xdr:colOff>
      <xdr:row>15</xdr:row>
      <xdr:rowOff>330620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B46E036-64E8-8477-795C-326D9E5E6F53}"/>
            </a:ext>
          </a:extLst>
        </xdr:cNvPr>
        <xdr:cNvGrpSpPr/>
      </xdr:nvGrpSpPr>
      <xdr:grpSpPr>
        <a:xfrm rot="5400000">
          <a:off x="7362993" y="2966393"/>
          <a:ext cx="3721090" cy="3117722"/>
          <a:chOff x="14946747" y="3494870"/>
          <a:chExt cx="3743326" cy="3074701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D173B0CD-3377-F471-769A-A5DFF682424F}"/>
              </a:ext>
            </a:extLst>
          </xdr:cNvPr>
          <xdr:cNvCxnSpPr/>
        </xdr:nvCxnSpPr>
        <xdr:spPr>
          <a:xfrm rot="5400000" flipV="1">
            <a:off x="16838297" y="1668344"/>
            <a:ext cx="4672" cy="3697753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7C012EEB-EE60-C1E4-C016-6D3AA5A105E6}"/>
              </a:ext>
            </a:extLst>
          </xdr:cNvPr>
          <xdr:cNvCxnSpPr/>
        </xdr:nvCxnSpPr>
        <xdr:spPr>
          <a:xfrm flipH="1" flipV="1">
            <a:off x="14946747" y="3494870"/>
            <a:ext cx="3730480" cy="3074701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E1A4544A-DA12-F3F9-693B-87E08BB4F8FF}"/>
              </a:ext>
            </a:extLst>
          </xdr:cNvPr>
          <xdr:cNvCxnSpPr/>
        </xdr:nvCxnSpPr>
        <xdr:spPr>
          <a:xfrm rot="5400000" flipH="1">
            <a:off x="16829603" y="4703427"/>
            <a:ext cx="23187" cy="3697752"/>
          </a:xfrm>
          <a:prstGeom prst="straightConnector1">
            <a:avLst/>
          </a:prstGeom>
          <a:ln w="635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162603</xdr:colOff>
      <xdr:row>11</xdr:row>
      <xdr:rowOff>464047</xdr:rowOff>
    </xdr:from>
    <xdr:to>
      <xdr:col>11</xdr:col>
      <xdr:colOff>598025</xdr:colOff>
      <xdr:row>12</xdr:row>
      <xdr:rowOff>367394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721496" y="4287654"/>
          <a:ext cx="435422" cy="461240"/>
        </a:xfrm>
        <a:prstGeom prst="star5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193222</xdr:colOff>
      <xdr:row>3</xdr:row>
      <xdr:rowOff>27894</xdr:rowOff>
    </xdr:from>
    <xdr:to>
      <xdr:col>12</xdr:col>
      <xdr:colOff>498022</xdr:colOff>
      <xdr:row>17</xdr:row>
      <xdr:rowOff>104094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4640FD-CD70-9689-71A9-506468884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190498</xdr:colOff>
      <xdr:row>3</xdr:row>
      <xdr:rowOff>68037</xdr:rowOff>
    </xdr:from>
    <xdr:to>
      <xdr:col>24</xdr:col>
      <xdr:colOff>557893</xdr:colOff>
      <xdr:row>34</xdr:row>
      <xdr:rowOff>61233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28EEAA-1C5F-1354-018F-D815725B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81644</xdr:colOff>
      <xdr:row>3</xdr:row>
      <xdr:rowOff>149679</xdr:rowOff>
    </xdr:from>
    <xdr:to>
      <xdr:col>24</xdr:col>
      <xdr:colOff>449037</xdr:colOff>
      <xdr:row>5</xdr:row>
      <xdr:rowOff>136072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EF7A44-E49F-B2E8-4D7C-BFA18AC77408}"/>
            </a:ext>
          </a:extLst>
        </xdr:cNvPr>
        <xdr:cNvSpPr txBox="1"/>
      </xdr:nvSpPr>
      <xdr:spPr>
        <a:xfrm>
          <a:off x="14600465" y="721179"/>
          <a:ext cx="1592036" cy="3673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EXPANTION     I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0.12925</cdr:x>
      <cdr:y>0.28838</cdr:y>
    </cdr:from>
    <cdr:to>
      <cdr:x>0.93602</cdr:x>
      <cdr:y>0.28838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9837DFE-FF61-F188-E4B6-68AC8449C3C1}"/>
            </a:ext>
          </a:extLst>
        </cdr:cNvPr>
        <cdr:cNvCxnSpPr/>
      </cdr:nvCxnSpPr>
      <cdr:spPr>
        <a:xfrm xmlns:a="http://schemas.openxmlformats.org/drawingml/2006/main">
          <a:off x="592233" y="791097"/>
          <a:ext cx="3696687" cy="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0.13119</cdr:x>
      <cdr:y>0.28988</cdr:y>
    </cdr:from>
    <cdr:to>
      <cdr:x>0.93756</cdr:x>
      <cdr:y>0.88945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5C7FF6BB-8F18-BE85-4361-599CB35366B7}"/>
            </a:ext>
          </a:extLst>
        </cdr:cNvPr>
        <cdr:cNvCxnSpPr/>
      </cdr:nvCxnSpPr>
      <cdr:spPr>
        <a:xfrm xmlns:a="http://schemas.openxmlformats.org/drawingml/2006/main">
          <a:off x="600602" y="795210"/>
          <a:ext cx="3691585" cy="164473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0.13086</cdr:x>
      <cdr:y>0.28971</cdr:y>
    </cdr:from>
    <cdr:to>
      <cdr:x>0.93472</cdr:x>
      <cdr:y>0.88945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B529851C-054B-F89F-90FC-0ADE55631969}"/>
            </a:ext>
          </a:extLst>
        </cdr:cNvPr>
        <cdr:cNvCxnSpPr/>
      </cdr:nvCxnSpPr>
      <cdr:spPr>
        <a:xfrm xmlns:a="http://schemas.openxmlformats.org/drawingml/2006/main" flipH="1">
          <a:off x="599084" y="794720"/>
          <a:ext cx="3680114" cy="16452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0.50169</cdr:x>
      <cdr:y>0.58816</cdr:y>
    </cdr:from>
    <cdr:to>
      <cdr:x>0.53401</cdr:x>
      <cdr:y>0.58816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8AFE0DB-42E3-DA75-8420-D5A83FCCAA85}"/>
            </a:ext>
          </a:extLst>
        </cdr:cNvPr>
        <cdr:cNvCxnSpPr/>
      </cdr:nvCxnSpPr>
      <cdr:spPr>
        <a:xfrm xmlns:a="http://schemas.openxmlformats.org/drawingml/2006/main">
          <a:off x="2295547" y="1613445"/>
          <a:ext cx="147879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0.53446</cdr:x>
      <cdr:y>0.58949</cdr:y>
    </cdr:from>
    <cdr:to>
      <cdr:x>0.53446</cdr:x>
      <cdr:y>0.60826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68E6B309-FEA0-CF55-CFFC-7BACA1235A11}"/>
            </a:ext>
          </a:extLst>
        </cdr:cNvPr>
        <cdr:cNvCxnSpPr/>
      </cdr:nvCxnSpPr>
      <cdr:spPr>
        <a:xfrm xmlns:a="http://schemas.openxmlformats.org/drawingml/2006/main">
          <a:off x="2445461" y="1617099"/>
          <a:ext cx="0" cy="514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0.54558</cdr:x>
      <cdr:y>0.09633</cdr:y>
    </cdr:from>
    <cdr:to>
      <cdr:x>0.86929</cdr:x>
      <cdr:y>0.45213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0F6277D5-CCB8-450E-8CDC-E2256B9D3953}"/>
            </a:ext>
          </a:extLst>
        </cdr:cNvPr>
        <cdr:cNvSpPr txBox="1"/>
      </cdr:nvSpPr>
      <cdr:spPr>
        <a:xfrm xmlns:a="http://schemas.openxmlformats.org/drawingml/2006/main">
          <a:off x="3578261" y="568196"/>
          <a:ext cx="2123134" cy="2098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1. Peningkatan penjualan</a:t>
          </a:r>
        </a:p>
        <a:p xmlns:a="http://schemas.openxmlformats.org/drawingml/2006/main">
          <a:r>
            <a:rPr lang="en-US" sz="1200"/>
            <a:t>2. Expansi usaha</a:t>
          </a:r>
        </a:p>
        <a:p xmlns:a="http://schemas.openxmlformats.org/drawingml/2006/main">
          <a:r>
            <a:rPr lang="en-US" sz="1200"/>
            <a:t>3. Penetrasi pasar</a:t>
          </a:r>
        </a:p>
        <a:p xmlns:a="http://schemas.openxmlformats.org/drawingml/2006/main">
          <a:r>
            <a:rPr lang="en-US" sz="1200"/>
            <a:t>4. Pengembangan pasar</a:t>
          </a:r>
        </a:p>
        <a:p xmlns:a="http://schemas.openxmlformats.org/drawingml/2006/main">
          <a:r>
            <a:rPr lang="en-US" sz="1200"/>
            <a:t>5. Pengembangan produk</a:t>
          </a:r>
        </a:p>
        <a:p xmlns:a="http://schemas.openxmlformats.org/drawingml/2006/main">
          <a:r>
            <a:rPr lang="en-US" sz="1200"/>
            <a:t>6. Kendali jalur distribusi</a:t>
          </a:r>
        </a:p>
        <a:p xmlns:a="http://schemas.openxmlformats.org/drawingml/2006/main">
          <a:r>
            <a:rPr lang="en-US" sz="1200"/>
            <a:t>7.</a:t>
          </a:r>
          <a:r>
            <a:rPr lang="en-US" sz="1200" baseline="0"/>
            <a:t> Kendali supplier</a:t>
          </a:r>
        </a:p>
        <a:p xmlns:a="http://schemas.openxmlformats.org/drawingml/2006/main">
          <a:r>
            <a:rPr lang="en-US" sz="1200" baseline="0"/>
            <a:t>8. Kendali pesaing</a:t>
          </a:r>
        </a:p>
        <a:p xmlns:a="http://schemas.openxmlformats.org/drawingml/2006/main">
          <a:r>
            <a:rPr lang="en-US" sz="1200" baseline="0"/>
            <a:t>9. Produk baru sejenis</a:t>
          </a:r>
        </a:p>
        <a:p xmlns:a="http://schemas.openxmlformats.org/drawingml/2006/main">
          <a:r>
            <a:rPr lang="en-US" sz="1200" baseline="0"/>
            <a:t>10. Produk baru tidak sejenis</a:t>
          </a:r>
        </a:p>
        <a:p xmlns:a="http://schemas.openxmlformats.org/drawingml/2006/main">
          <a:r>
            <a:rPr lang="en-US" sz="1200" baseline="0"/>
            <a:t>11. Akuisisi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91382</xdr:colOff>
      <xdr:row>2</xdr:row>
      <xdr:rowOff>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2898F-D9A8-4DAA-9B05-DFEFC33C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0"/>
          <a:ext cx="2040832" cy="724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ISTEM%20MANAJEMEN\2.%20SISTEM%20MANAJEMEN%20TERINTEGRASI%20PT.%20CINT\KLAUSUL%209.%20EVALUASI%20KINERJA\9.1%20PEMANTAUAN,%20PENGUKURAN,%20ANALISIS%20DAN%20EVALUASI\01.%20BSC\02.%20Pencapaian%20BSC_2024\01.%20BSC%20Dashboard%20PT%20Chitose.xlsx" TargetMode="External"/><Relationship Id="rId1" Type="http://schemas.openxmlformats.org/officeDocument/2006/relationships/externalLinkPath" Target="/SISTEM%20MANAJEMEN/2.%20SISTEM%20MANAJEMEN%20TERINTEGRASI%20PT.%20CINT/KLAUSUL%209.%20EVALUASI%20KINERJA/9.1%20PEMANTAUAN,%20PENGUKURAN,%20ANALISIS%20DAN%20EVALUASI/01.%20BSC/02.%20Pencapaian%20BSC_2024/01.%20BSC%20Dashboard%20PT%20Chito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BSC Corporate"/>
      <sheetName val="Database Corp."/>
      <sheetName val="BSC Dir Adm"/>
      <sheetName val="DB Dir Adm"/>
      <sheetName val="BSC Dir Produksi"/>
      <sheetName val="DB Dir Prod"/>
      <sheetName val="BSC Dir SLS &amp; MKT"/>
      <sheetName val="DB SLS &amp; MKT"/>
      <sheetName val="BSC Dir BusDev"/>
      <sheetName val="DB BusDev"/>
      <sheetName val="BSC Corporate1"/>
    </sheetNames>
    <sheetDataSet>
      <sheetData sheetId="0"/>
      <sheetData sheetId="1"/>
      <sheetData sheetId="2"/>
      <sheetData sheetId="3"/>
      <sheetData sheetId="4">
        <row r="22">
          <cell r="B22">
            <v>0.9</v>
          </cell>
          <cell r="C22">
            <v>0.9</v>
          </cell>
          <cell r="D22">
            <v>0.88000000000000012</v>
          </cell>
          <cell r="E22">
            <v>0.9</v>
          </cell>
          <cell r="F22">
            <v>0.9</v>
          </cell>
          <cell r="G22">
            <v>0.9</v>
          </cell>
          <cell r="H22">
            <v>0.9</v>
          </cell>
          <cell r="I22">
            <v>0.9</v>
          </cell>
          <cell r="J22">
            <v>0.9</v>
          </cell>
          <cell r="K22">
            <v>0.9</v>
          </cell>
          <cell r="L22">
            <v>0.9</v>
          </cell>
          <cell r="M22">
            <v>0.9</v>
          </cell>
          <cell r="N22">
            <v>0.89833333333333354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7">
          <cell r="B67">
            <v>1</v>
          </cell>
          <cell r="C67">
            <v>1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</row>
      </sheetData>
      <sheetData sheetId="5"/>
      <sheetData sheetId="6">
        <row r="22">
          <cell r="B22">
            <v>0.95</v>
          </cell>
          <cell r="C22">
            <v>0.95</v>
          </cell>
          <cell r="D22">
            <v>0.95</v>
          </cell>
          <cell r="E22">
            <v>0.95</v>
          </cell>
          <cell r="F22">
            <v>0.95</v>
          </cell>
          <cell r="G22">
            <v>0.95</v>
          </cell>
          <cell r="H22">
            <v>0.95</v>
          </cell>
          <cell r="I22">
            <v>0.95</v>
          </cell>
          <cell r="J22">
            <v>0.95</v>
          </cell>
          <cell r="K22">
            <v>0.95</v>
          </cell>
          <cell r="L22">
            <v>0.95</v>
          </cell>
          <cell r="M22">
            <v>0.95</v>
          </cell>
          <cell r="N22">
            <v>0.94999999999999984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66">
          <cell r="B66" t="str">
            <v>Jan</v>
          </cell>
          <cell r="C66" t="str">
            <v>Feb</v>
          </cell>
          <cell r="D66" t="str">
            <v>Mar</v>
          </cell>
          <cell r="E66" t="str">
            <v>Apr</v>
          </cell>
          <cell r="F66" t="str">
            <v>May</v>
          </cell>
          <cell r="G66" t="str">
            <v>Jun</v>
          </cell>
          <cell r="H66" t="str">
            <v>Jul</v>
          </cell>
          <cell r="I66" t="str">
            <v>Aug</v>
          </cell>
          <cell r="J66" t="str">
            <v>Sep</v>
          </cell>
          <cell r="K66" t="str">
            <v>Oct</v>
          </cell>
          <cell r="L66" t="str">
            <v>Nov</v>
          </cell>
          <cell r="M66" t="str">
            <v>Dec</v>
          </cell>
          <cell r="N66" t="str">
            <v>Achievement YTD</v>
          </cell>
        </row>
        <row r="67">
          <cell r="B67">
            <v>100</v>
          </cell>
          <cell r="C67">
            <v>120</v>
          </cell>
          <cell r="D67">
            <v>130</v>
          </cell>
          <cell r="E67">
            <v>100</v>
          </cell>
          <cell r="F67">
            <v>110</v>
          </cell>
          <cell r="G67">
            <v>100</v>
          </cell>
          <cell r="H67">
            <v>90</v>
          </cell>
          <cell r="I67">
            <v>125</v>
          </cell>
          <cell r="J67">
            <v>150</v>
          </cell>
          <cell r="K67">
            <v>200</v>
          </cell>
          <cell r="L67">
            <v>90</v>
          </cell>
          <cell r="M67">
            <v>80</v>
          </cell>
          <cell r="N67">
            <v>1395</v>
          </cell>
        </row>
        <row r="68">
          <cell r="B68">
            <v>55000</v>
          </cell>
          <cell r="C68">
            <v>61600</v>
          </cell>
          <cell r="D68">
            <v>55000</v>
          </cell>
          <cell r="E68">
            <v>55000</v>
          </cell>
          <cell r="F68">
            <v>55000</v>
          </cell>
          <cell r="G68">
            <v>55000</v>
          </cell>
          <cell r="H68">
            <v>55000</v>
          </cell>
          <cell r="I68">
            <v>55000</v>
          </cell>
          <cell r="J68">
            <v>55000</v>
          </cell>
          <cell r="K68">
            <v>55000</v>
          </cell>
          <cell r="L68">
            <v>55000</v>
          </cell>
          <cell r="M68">
            <v>55000</v>
          </cell>
          <cell r="N68">
            <v>666600</v>
          </cell>
        </row>
        <row r="69">
          <cell r="B69">
            <v>2E-3</v>
          </cell>
          <cell r="C69">
            <v>2E-3</v>
          </cell>
          <cell r="D69">
            <v>2E-3</v>
          </cell>
          <cell r="E69">
            <v>2E-3</v>
          </cell>
          <cell r="F69">
            <v>2E-3</v>
          </cell>
          <cell r="G69">
            <v>2E-3</v>
          </cell>
          <cell r="H69">
            <v>2E-3</v>
          </cell>
          <cell r="I69">
            <v>2E-3</v>
          </cell>
          <cell r="J69">
            <v>2E-3</v>
          </cell>
          <cell r="K69">
            <v>2E-3</v>
          </cell>
          <cell r="L69">
            <v>2E-3</v>
          </cell>
          <cell r="M69">
            <v>2E-3</v>
          </cell>
          <cell r="N69">
            <v>2.0000000000000005E-3</v>
          </cell>
        </row>
        <row r="76">
          <cell r="B76" t="str">
            <v>Jan</v>
          </cell>
          <cell r="C76" t="str">
            <v>Feb</v>
          </cell>
          <cell r="D76" t="str">
            <v>Mar</v>
          </cell>
          <cell r="E76" t="str">
            <v>Apr</v>
          </cell>
          <cell r="F76" t="str">
            <v>May</v>
          </cell>
          <cell r="G76" t="str">
            <v>Jun</v>
          </cell>
          <cell r="H76" t="str">
            <v>Jul</v>
          </cell>
          <cell r="I76" t="str">
            <v>Aug</v>
          </cell>
          <cell r="J76" t="str">
            <v>Sep</v>
          </cell>
          <cell r="K76" t="str">
            <v>Oct</v>
          </cell>
          <cell r="L76" t="str">
            <v>Nov</v>
          </cell>
          <cell r="M76" t="str">
            <v>Dec</v>
          </cell>
          <cell r="N76" t="str">
            <v>Achievement YTD</v>
          </cell>
        </row>
        <row r="77">
          <cell r="B77">
            <v>3000</v>
          </cell>
          <cell r="C77">
            <v>3000</v>
          </cell>
          <cell r="D77">
            <v>3000</v>
          </cell>
          <cell r="E77">
            <v>3000</v>
          </cell>
          <cell r="F77">
            <v>3000</v>
          </cell>
          <cell r="G77">
            <v>3000</v>
          </cell>
          <cell r="H77">
            <v>3000</v>
          </cell>
          <cell r="I77">
            <v>3000</v>
          </cell>
          <cell r="J77">
            <v>3000</v>
          </cell>
          <cell r="K77">
            <v>3000</v>
          </cell>
          <cell r="L77">
            <v>3000</v>
          </cell>
          <cell r="M77">
            <v>3000</v>
          </cell>
          <cell r="N77">
            <v>3000</v>
          </cell>
        </row>
        <row r="87">
          <cell r="B87">
            <v>1</v>
          </cell>
          <cell r="C87">
            <v>1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11">
          <cell r="B111" t="str">
            <v>Jan</v>
          </cell>
          <cell r="C111" t="str">
            <v>Feb</v>
          </cell>
          <cell r="D111" t="str">
            <v>Mar</v>
          </cell>
          <cell r="E111" t="str">
            <v>Apr</v>
          </cell>
          <cell r="F111" t="str">
            <v>May</v>
          </cell>
          <cell r="G111" t="str">
            <v>Jun</v>
          </cell>
          <cell r="H111" t="str">
            <v>Jul</v>
          </cell>
          <cell r="I111" t="str">
            <v>Aug</v>
          </cell>
          <cell r="J111" t="str">
            <v>Sep</v>
          </cell>
          <cell r="K111" t="str">
            <v>Oct</v>
          </cell>
          <cell r="L111" t="str">
            <v>Nov</v>
          </cell>
          <cell r="M111" t="str">
            <v>Dec</v>
          </cell>
          <cell r="N111" t="str">
            <v>Achievement YTD</v>
          </cell>
        </row>
        <row r="112">
          <cell r="B112">
            <v>1000</v>
          </cell>
          <cell r="C112">
            <v>2000</v>
          </cell>
          <cell r="D112">
            <v>2000</v>
          </cell>
          <cell r="E112">
            <v>2000</v>
          </cell>
          <cell r="F112">
            <v>2000</v>
          </cell>
          <cell r="G112">
            <v>2000</v>
          </cell>
          <cell r="H112">
            <v>2000</v>
          </cell>
          <cell r="I112">
            <v>2000</v>
          </cell>
          <cell r="J112">
            <v>2000</v>
          </cell>
          <cell r="K112">
            <v>2000</v>
          </cell>
          <cell r="L112">
            <v>2000</v>
          </cell>
          <cell r="M112">
            <v>2000</v>
          </cell>
          <cell r="N112">
            <v>1916.6666666666667</v>
          </cell>
        </row>
        <row r="113">
          <cell r="B113">
            <v>2700</v>
          </cell>
          <cell r="C113">
            <v>2500</v>
          </cell>
          <cell r="D113">
            <v>2800</v>
          </cell>
          <cell r="E113">
            <v>2750</v>
          </cell>
          <cell r="F113">
            <v>2400</v>
          </cell>
          <cell r="G113">
            <v>2500</v>
          </cell>
          <cell r="H113">
            <v>2500</v>
          </cell>
          <cell r="I113">
            <v>2500</v>
          </cell>
          <cell r="J113">
            <v>2500</v>
          </cell>
          <cell r="K113">
            <v>2500</v>
          </cell>
          <cell r="L113">
            <v>2500</v>
          </cell>
          <cell r="M113">
            <v>2500</v>
          </cell>
          <cell r="N113">
            <v>2554.1666666666665</v>
          </cell>
        </row>
        <row r="114">
          <cell r="B114">
            <v>0.7</v>
          </cell>
          <cell r="C114">
            <v>0.7</v>
          </cell>
          <cell r="D114">
            <v>0.7</v>
          </cell>
          <cell r="E114">
            <v>0.7</v>
          </cell>
          <cell r="F114">
            <v>0.7</v>
          </cell>
          <cell r="G114">
            <v>0.7</v>
          </cell>
          <cell r="H114">
            <v>0.7</v>
          </cell>
          <cell r="I114">
            <v>0.7</v>
          </cell>
          <cell r="J114">
            <v>0.7</v>
          </cell>
          <cell r="K114">
            <v>0.7</v>
          </cell>
          <cell r="L114">
            <v>0.7</v>
          </cell>
          <cell r="M114">
            <v>0.7</v>
          </cell>
          <cell r="N114">
            <v>0.7</v>
          </cell>
        </row>
      </sheetData>
      <sheetData sheetId="7"/>
      <sheetData sheetId="8">
        <row r="40">
          <cell r="B40">
            <v>5.5E-2</v>
          </cell>
          <cell r="C40">
            <v>0.03</v>
          </cell>
          <cell r="D40">
            <v>5.4999999999999993E-2</v>
          </cell>
          <cell r="E40">
            <v>5.2499999999999998E-2</v>
          </cell>
          <cell r="F40">
            <v>5.5E-2</v>
          </cell>
          <cell r="G40">
            <v>5.5000000000000007E-2</v>
          </cell>
          <cell r="H40">
            <v>6.7500000000000004E-2</v>
          </cell>
          <cell r="I40">
            <v>0.04</v>
          </cell>
          <cell r="J40">
            <v>4.2499999999999996E-2</v>
          </cell>
          <cell r="K40">
            <v>3.7499999999999999E-2</v>
          </cell>
          <cell r="L40">
            <v>4.4999999999999998E-2</v>
          </cell>
          <cell r="M40">
            <v>3.3750000000000002E-2</v>
          </cell>
          <cell r="N40">
            <v>4.7395833333333325E-2</v>
          </cell>
        </row>
        <row r="48">
          <cell r="B48">
            <v>0.95</v>
          </cell>
          <cell r="C48">
            <v>0.95</v>
          </cell>
          <cell r="D48">
            <v>0.95</v>
          </cell>
          <cell r="E48">
            <v>0.95</v>
          </cell>
          <cell r="F48">
            <v>0.95</v>
          </cell>
          <cell r="G48">
            <v>0.95</v>
          </cell>
          <cell r="H48">
            <v>0.95</v>
          </cell>
          <cell r="I48">
            <v>0.95</v>
          </cell>
          <cell r="J48">
            <v>0.95</v>
          </cell>
          <cell r="K48">
            <v>0.95</v>
          </cell>
          <cell r="L48">
            <v>0.95</v>
          </cell>
          <cell r="M48">
            <v>0.95</v>
          </cell>
          <cell r="N48">
            <v>0.94999999999999984</v>
          </cell>
        </row>
        <row r="56">
          <cell r="B56">
            <v>1.2E-2</v>
          </cell>
          <cell r="C56">
            <v>1.0999999999999999E-2</v>
          </cell>
          <cell r="D56">
            <v>1.2999999999999999E-2</v>
          </cell>
          <cell r="E56">
            <v>0.01</v>
          </cell>
          <cell r="F56">
            <v>8.9999999999999993E-3</v>
          </cell>
          <cell r="G56">
            <v>0.01</v>
          </cell>
          <cell r="H56">
            <v>1.4999999999999999E-2</v>
          </cell>
          <cell r="I56">
            <v>0.01</v>
          </cell>
          <cell r="J56">
            <v>8.0000000000000002E-3</v>
          </cell>
          <cell r="K56">
            <v>8.9999999999999993E-3</v>
          </cell>
          <cell r="L56">
            <v>7.0000000000000001E-3</v>
          </cell>
          <cell r="M56">
            <v>8.9999999999999993E-3</v>
          </cell>
          <cell r="N56">
            <v>1.025E-2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</sheetData>
      <sheetData sheetId="9"/>
      <sheetData sheetId="10">
        <row r="31">
          <cell r="B31">
            <v>3.5000000000000003E-2</v>
          </cell>
          <cell r="C31">
            <v>3.5000000000000003E-2</v>
          </cell>
          <cell r="D31">
            <v>0.06</v>
          </cell>
          <cell r="E31">
            <v>0.04</v>
          </cell>
          <cell r="F31">
            <v>0.04</v>
          </cell>
          <cell r="G31">
            <v>4.7500000000000001E-2</v>
          </cell>
          <cell r="H31">
            <v>0.02</v>
          </cell>
          <cell r="I31">
            <v>4.5000000000000005E-2</v>
          </cell>
          <cell r="J31">
            <v>3.0000000000000002E-2</v>
          </cell>
          <cell r="K31">
            <v>5.5E-2</v>
          </cell>
          <cell r="L31">
            <v>4.4999999999999998E-2</v>
          </cell>
          <cell r="M31">
            <v>5.7499999999999996E-2</v>
          </cell>
          <cell r="N31">
            <v>4.2500000000000003E-2</v>
          </cell>
        </row>
        <row r="39">
          <cell r="B39">
            <v>0.95</v>
          </cell>
          <cell r="C39">
            <v>0.95</v>
          </cell>
          <cell r="D39">
            <v>0.95</v>
          </cell>
          <cell r="E39">
            <v>0.95</v>
          </cell>
          <cell r="F39">
            <v>0.95</v>
          </cell>
          <cell r="G39">
            <v>0.95</v>
          </cell>
          <cell r="H39">
            <v>0.95</v>
          </cell>
          <cell r="I39">
            <v>0.95</v>
          </cell>
          <cell r="J39">
            <v>0.95</v>
          </cell>
          <cell r="K39">
            <v>0.95</v>
          </cell>
          <cell r="L39">
            <v>0.95</v>
          </cell>
          <cell r="M39">
            <v>0.95</v>
          </cell>
          <cell r="N39">
            <v>0.94999999999999984</v>
          </cell>
        </row>
        <row r="47">
          <cell r="B47">
            <v>1.2E-2</v>
          </cell>
          <cell r="C47">
            <v>1.0999999999999999E-2</v>
          </cell>
          <cell r="D47">
            <v>1.2999999999999999E-2</v>
          </cell>
          <cell r="E47">
            <v>0.01</v>
          </cell>
          <cell r="F47">
            <v>8.9999999999999993E-3</v>
          </cell>
          <cell r="G47">
            <v>0.01</v>
          </cell>
          <cell r="H47">
            <v>1.4999999999999999E-2</v>
          </cell>
          <cell r="I47">
            <v>0.01</v>
          </cell>
          <cell r="J47">
            <v>8.0000000000000002E-3</v>
          </cell>
          <cell r="K47">
            <v>8.9999999999999993E-3</v>
          </cell>
          <cell r="L47">
            <v>7.0000000000000001E-3</v>
          </cell>
          <cell r="M47">
            <v>8.9999999999999993E-3</v>
          </cell>
          <cell r="N47">
            <v>1.025E-2</v>
          </cell>
        </row>
        <row r="93">
          <cell r="B93">
            <v>1</v>
          </cell>
          <cell r="C93">
            <v>1</v>
          </cell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</sheetData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M12" sheet="Isu Int-Ekst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601.683354050925" createdVersion="8" refreshedVersion="8" minRefreshableVersion="3" recordCount="42" xr:uid="{CA8C318B-C3F3-49AE-8006-B465109656D2}">
  <cacheSource type="worksheet">
    <worksheetSource ref="A6:O48" sheet="Isu Int-Ekst"/>
  </cacheSource>
  <cacheFields count="15">
    <cacheField name="NO" numFmtId="0">
      <sharedItems containsString="0" containsBlank="1" containsNumber="1" containsInteger="1" minValue="1" maxValue="44"/>
    </cacheField>
    <cacheField name="STAKEHOLDERS" numFmtId="0">
      <sharedItems/>
    </cacheField>
    <cacheField name="KEBUTUHAN DAN HARAPAN" numFmtId="0">
      <sharedItems/>
    </cacheField>
    <cacheField name="ISU" numFmtId="0">
      <sharedItems count="42">
        <s v="Harga Produk Chitose lebih mahal dibandingkan dengan brand lain"/>
        <s v="Pemenuhan order tidak sesuai dengan permintaan customer"/>
        <s v="Penjualan Produk Chitose melalui e-commerce Tokopedia &amp; Platform jual beli pemerintah"/>
        <s v="Produk Alkes CINT masih terbatas "/>
        <s v="Sarana olahraga kurang memadai"/>
        <s v="Karir mapping belum terkonsep dengan baik"/>
        <s v="Masih ada komplain pelanggan terkait produk CINT"/>
        <s v="Belum disiplin dalam penggunaan APD"/>
        <s v="Terbukanya pasar baru untuk alat kesehatan manusia di pasar swasta, alkes hewan, penjualan furnitur dengan interior design, serta perluasan pasar ke Middle East yang menerapkan Eco-Friendly."/>
        <s v="Raw material unmoving tinggi"/>
        <s v="Budaya Kaizen konsisten diimplementasikan di lingkungan Chitose"/>
        <s v="Alat Uji Kualitas Alkes masih manual"/>
        <s v="Pengembangan produk jadi dari fix menjadi knockdown "/>
        <s v="Turn over inventory finish good slow dan unmoving rendah"/>
        <s v="Investasi sarana &amp; prasarana digunakan secara maksimal"/>
        <s v="36% level asisten manager keatas sudah berusia diatas 50 tahun"/>
        <s v="Ketepatan realisasi produksi terhadap APS 100%"/>
        <s v="Tingkat kegagalan G2 0,32% diatas target"/>
        <s v="Masih adanya single supplier"/>
        <s v="Multiskill karyawan belum dapat diukur"/>
        <s v="Sistem manajemen terintegrasi dan program digitalisasi telah dijalankan"/>
        <s v="Autonomus maintenance belum diimplementasikan"/>
        <s v="Mesin produksi sudah berumur sehingga tidak efisien dan efektif"/>
        <s v="Strategi pemasaran digital menggunakan Search Engine Optimization (SEO)"/>
        <s v="Terjadi kecelakaan kerja 6 kali di tahun 2024"/>
        <s v="Tidak ada komplain dan sanksi"/>
        <s v="Implementasi Direct Holding Integrated System (DHIS)"/>
        <s v="DOH AR dan AP belum sesuai "/>
        <s v="Tersedianya material import yang lebih kompetitif"/>
        <s v="Perhitungan kapasitas belum tepat"/>
        <s v="Harga jual naik karena kenaikan PPN 12%"/>
        <s v="Manajemen gudang Finish Goods belum dikelola dengan baik"/>
        <s v="Dasar Perhitungan Actual Cost di SAP untuk masing masing produk masih menggunakan metode distribusi biaya"/>
        <s v="Konsisten pelaksanaan program CSR untuk masyarakat sekitar"/>
        <s v="Kenaikan dividen"/>
        <s v="Kenaikan nilai saham tidak signifikan"/>
        <s v="Produk CINT sudah tersertifikasi TKDN dan SNI"/>
        <s v="Peraturan perundangan perubahan dan baru"/>
        <s v="CINT belum menggunakan energi terbarukan"/>
        <s v="CINT belum mempunyai program CSR pemberdayaan masyarakat"/>
        <s v="Persentase repeat order? Ke PCH"/>
        <s v="Keterbukaan supplier dalam meningkatkan kemampuan dan kualitas sesuai standar CINT"/>
      </sharedItems>
    </cacheField>
    <cacheField name="TINJAUAN (FAKTOR)" numFmtId="0">
      <sharedItems count="11">
        <s v="Harga Produk"/>
        <s v="Penjualan"/>
        <s v="Sumber Daya Manusia"/>
        <s v="Kualitas"/>
        <s v="K3"/>
        <s v="Proses"/>
        <s v="Kaizen"/>
        <s v="Teknologi"/>
        <s v="Regulasi"/>
        <s v="Kinerja Keuangan"/>
        <s v="Lingkungan"/>
      </sharedItems>
    </cacheField>
    <cacheField name="IN" numFmtId="0">
      <sharedItems containsString="0" containsBlank="1" containsNumber="1" containsInteger="1" minValue="1" maxValue="1"/>
    </cacheField>
    <cacheField name="EKS" numFmtId="1">
      <sharedItems containsString="0" containsBlank="1" containsNumber="1" containsInteger="1" minValue="1" maxValue="1"/>
    </cacheField>
    <cacheField name="SUM" numFmtId="0">
      <sharedItems/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5">
        <s v="T"/>
        <s v="O"/>
        <s v="W"/>
        <s v="S"/>
        <s v="-" u="1"/>
      </sharedItems>
    </cacheField>
    <cacheField name="BOBOT" numFmtId="0">
      <sharedItems containsSemiMixedTypes="0" containsString="0" containsNumber="1" containsInteger="1" minValue="2" maxValue="4"/>
    </cacheField>
    <cacheField name="RATING" numFmtId="0">
      <sharedItems containsSemiMixedTypes="0" containsString="0" containsNumber="1" containsInteger="1" minValue="-4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n v="1"/>
    <s v="Customer"/>
    <s v="Harga produk Chitose lebih murah dari brand lain"/>
    <x v="0"/>
    <x v="0"/>
    <m/>
    <n v="1"/>
    <s v="Eksternal"/>
    <m/>
    <m/>
    <m/>
    <n v="1"/>
    <x v="0"/>
    <n v="4"/>
    <n v="-3"/>
  </r>
  <r>
    <n v="2"/>
    <s v="Customer"/>
    <s v="Memperpendek leadtime produksi sesuai permintaan customer"/>
    <x v="1"/>
    <x v="0"/>
    <m/>
    <n v="1"/>
    <s v="Eksternal"/>
    <m/>
    <m/>
    <m/>
    <n v="1"/>
    <x v="0"/>
    <n v="3"/>
    <n v="-3"/>
  </r>
  <r>
    <n v="3"/>
    <s v="Customer"/>
    <s v="Produk CINT mudah dijangkau"/>
    <x v="2"/>
    <x v="1"/>
    <m/>
    <n v="1"/>
    <s v="Eksternal"/>
    <m/>
    <m/>
    <n v="1"/>
    <m/>
    <x v="1"/>
    <n v="3"/>
    <n v="2"/>
  </r>
  <r>
    <n v="4"/>
    <s v="Customer"/>
    <s v="Dapat memenuhi permintaan Alkes sesuai kebutuhan customer"/>
    <x v="3"/>
    <x v="1"/>
    <m/>
    <n v="1"/>
    <s v="Eksternal"/>
    <m/>
    <m/>
    <n v="1"/>
    <m/>
    <x v="1"/>
    <n v="4"/>
    <n v="4"/>
  </r>
  <r>
    <m/>
    <s v="Karyawan"/>
    <s v="Perbaikan sarana olahraga"/>
    <x v="4"/>
    <x v="2"/>
    <n v="1"/>
    <m/>
    <s v="Internal"/>
    <m/>
    <n v="1"/>
    <m/>
    <m/>
    <x v="2"/>
    <n v="2"/>
    <n v="-2"/>
  </r>
  <r>
    <n v="6"/>
    <s v="Karyawan"/>
    <s v="Kesempatan pengembangan karir"/>
    <x v="5"/>
    <x v="2"/>
    <n v="1"/>
    <m/>
    <s v="Internal"/>
    <m/>
    <n v="1"/>
    <m/>
    <m/>
    <x v="2"/>
    <n v="3"/>
    <n v="-3"/>
  </r>
  <r>
    <n v="8"/>
    <s v="Manajemen"/>
    <s v="Tidak ada komplain pelanggan"/>
    <x v="6"/>
    <x v="3"/>
    <n v="1"/>
    <m/>
    <s v="Internal"/>
    <m/>
    <n v="1"/>
    <m/>
    <m/>
    <x v="2"/>
    <n v="4"/>
    <n v="-3"/>
  </r>
  <r>
    <n v="9"/>
    <s v="Manajemen"/>
    <s v="Karyawan disiplin dalam penggunaan APD"/>
    <x v="7"/>
    <x v="4"/>
    <n v="1"/>
    <m/>
    <s v="Internal"/>
    <m/>
    <n v="1"/>
    <m/>
    <m/>
    <x v="2"/>
    <n v="3"/>
    <n v="-3"/>
  </r>
  <r>
    <n v="5"/>
    <s v="Manajemen"/>
    <s v="Peningkatan penjualan"/>
    <x v="8"/>
    <x v="1"/>
    <n v="1"/>
    <m/>
    <s v="Internal"/>
    <n v="1"/>
    <m/>
    <m/>
    <m/>
    <x v="3"/>
    <n v="4"/>
    <n v="4"/>
  </r>
  <r>
    <n v="10"/>
    <s v="Manajemen"/>
    <s v="Material unmoving 0 rupiah"/>
    <x v="9"/>
    <x v="5"/>
    <n v="1"/>
    <m/>
    <s v="Internal"/>
    <n v="1"/>
    <m/>
    <m/>
    <m/>
    <x v="3"/>
    <n v="4"/>
    <n v="4"/>
  </r>
  <r>
    <n v="11"/>
    <s v="Manajemen"/>
    <s v="Improvement dan inovasi berkelanjutan"/>
    <x v="10"/>
    <x v="6"/>
    <n v="1"/>
    <m/>
    <s v="Internal"/>
    <n v="1"/>
    <m/>
    <m/>
    <m/>
    <x v="3"/>
    <n v="4"/>
    <n v="4"/>
  </r>
  <r>
    <n v="12"/>
    <s v="Manajemen"/>
    <s v="Proses pengujian lebih cepat dan akurat "/>
    <x v="11"/>
    <x v="5"/>
    <n v="1"/>
    <m/>
    <s v="Internal"/>
    <m/>
    <n v="1"/>
    <m/>
    <m/>
    <x v="2"/>
    <n v="3"/>
    <n v="-3"/>
  </r>
  <r>
    <n v="13"/>
    <s v="Manajemen"/>
    <s v="Efisiensi biaya pengiriman dan packaging"/>
    <x v="12"/>
    <x v="5"/>
    <n v="1"/>
    <m/>
    <s v="Internal"/>
    <n v="1"/>
    <m/>
    <m/>
    <m/>
    <x v="3"/>
    <n v="4"/>
    <n v="3"/>
  </r>
  <r>
    <n v="14"/>
    <s v="Manajemen"/>
    <s v="Turn over stock semua kategori finish good tinggi"/>
    <x v="13"/>
    <x v="5"/>
    <n v="1"/>
    <m/>
    <s v="Internal"/>
    <m/>
    <n v="1"/>
    <m/>
    <m/>
    <x v="2"/>
    <n v="4"/>
    <n v="-4"/>
  </r>
  <r>
    <n v="15"/>
    <s v="Manajemen"/>
    <s v="Kenaikan profit dari investasi"/>
    <x v="14"/>
    <x v="7"/>
    <n v="1"/>
    <m/>
    <s v="Internal"/>
    <n v="1"/>
    <m/>
    <m/>
    <m/>
    <x v="3"/>
    <n v="4"/>
    <n v="3"/>
  </r>
  <r>
    <n v="17"/>
    <s v="Manajemen"/>
    <s v="Percepatan kaderisasi dan transfer of skill level managerial"/>
    <x v="15"/>
    <x v="2"/>
    <n v="1"/>
    <m/>
    <s v="Internal"/>
    <m/>
    <n v="1"/>
    <m/>
    <m/>
    <x v="2"/>
    <n v="3"/>
    <n v="-4"/>
  </r>
  <r>
    <n v="18"/>
    <s v="Manajemen"/>
    <s v="Pengiriman pesanan tepat waktu"/>
    <x v="16"/>
    <x v="5"/>
    <n v="1"/>
    <m/>
    <s v="Internal"/>
    <n v="1"/>
    <m/>
    <m/>
    <m/>
    <x v="3"/>
    <n v="4"/>
    <n v="4"/>
  </r>
  <r>
    <n v="19"/>
    <s v="Manajemen"/>
    <s v="Tingkat kegagalan G2 0,2%"/>
    <x v="17"/>
    <x v="3"/>
    <n v="1"/>
    <m/>
    <s v="Internal"/>
    <m/>
    <n v="1"/>
    <m/>
    <m/>
    <x v="2"/>
    <n v="4"/>
    <n v="3"/>
  </r>
  <r>
    <n v="20"/>
    <s v="Manajemen"/>
    <s v="Tidak terjadi short supply"/>
    <x v="18"/>
    <x v="5"/>
    <n v="1"/>
    <m/>
    <s v="Internal"/>
    <m/>
    <n v="1"/>
    <m/>
    <m/>
    <x v="2"/>
    <n v="3"/>
    <n v="-3"/>
  </r>
  <r>
    <n v="21"/>
    <s v="Manajemen"/>
    <s v="Multiskill teknis dapat terukur"/>
    <x v="19"/>
    <x v="5"/>
    <n v="1"/>
    <m/>
    <s v="Internal"/>
    <m/>
    <n v="1"/>
    <m/>
    <m/>
    <x v="2"/>
    <n v="3"/>
    <n v="-2"/>
  </r>
  <r>
    <n v="22"/>
    <s v="Manajemen"/>
    <s v="Sistem manajemen terimplementasi dan terus dikembangkan"/>
    <x v="20"/>
    <x v="8"/>
    <n v="1"/>
    <m/>
    <s v="Internal"/>
    <n v="1"/>
    <m/>
    <m/>
    <m/>
    <x v="3"/>
    <n v="4"/>
    <n v="3"/>
  </r>
  <r>
    <n v="23"/>
    <s v="Manajemen"/>
    <s v="Biaya maintenance terkendali dan mesin sesuai umur ekonomis"/>
    <x v="21"/>
    <x v="5"/>
    <n v="1"/>
    <m/>
    <s v="Internal"/>
    <m/>
    <n v="1"/>
    <m/>
    <m/>
    <x v="2"/>
    <n v="4"/>
    <n v="-3"/>
  </r>
  <r>
    <n v="24"/>
    <s v="Manajemen"/>
    <s v="Meningkatkan profitabilitas dari efisiensi dan efektivitas permesinan"/>
    <x v="22"/>
    <x v="7"/>
    <n v="1"/>
    <m/>
    <s v="Internal"/>
    <m/>
    <n v="1"/>
    <m/>
    <m/>
    <x v="2"/>
    <n v="4"/>
    <n v="-4"/>
  </r>
  <r>
    <n v="25"/>
    <s v="Manajemen"/>
    <s v="Meningkatkan penjualan melalui digital marketing"/>
    <x v="23"/>
    <x v="7"/>
    <n v="1"/>
    <m/>
    <s v="Internal"/>
    <n v="1"/>
    <m/>
    <m/>
    <m/>
    <x v="3"/>
    <n v="3"/>
    <n v="3"/>
  </r>
  <r>
    <n v="26"/>
    <s v="Manajemen"/>
    <s v="Zero accident"/>
    <x v="24"/>
    <x v="4"/>
    <n v="1"/>
    <m/>
    <s v="Internal"/>
    <m/>
    <n v="1"/>
    <m/>
    <m/>
    <x v="2"/>
    <n v="4"/>
    <n v="-4"/>
  </r>
  <r>
    <n v="27"/>
    <s v="Manajemen"/>
    <s v="Tidak ada komplain dan sanksi dari pemerintah dan masyarakat"/>
    <x v="25"/>
    <x v="8"/>
    <n v="1"/>
    <m/>
    <s v="Internal"/>
    <n v="1"/>
    <m/>
    <m/>
    <m/>
    <x v="3"/>
    <n v="3"/>
    <n v="4"/>
  </r>
  <r>
    <n v="28"/>
    <s v="Manajemen"/>
    <s v="Mempercepat proses konsolidasi dan pengendalian internal"/>
    <x v="26"/>
    <x v="5"/>
    <n v="1"/>
    <m/>
    <s v="Internal"/>
    <n v="1"/>
    <m/>
    <m/>
    <m/>
    <x v="3"/>
    <n v="4"/>
    <n v="3"/>
  </r>
  <r>
    <n v="30"/>
    <s v="Manajemen"/>
    <s v="Cash flow operation positif"/>
    <x v="27"/>
    <x v="9"/>
    <n v="1"/>
    <m/>
    <s v="Internal"/>
    <m/>
    <n v="1"/>
    <m/>
    <m/>
    <x v="2"/>
    <n v="4"/>
    <n v="-4"/>
  </r>
  <r>
    <n v="42"/>
    <s v="Manajemen"/>
    <s v="Menaikan profitabilitas melalui global sourcing"/>
    <x v="28"/>
    <x v="1"/>
    <n v="1"/>
    <m/>
    <s v="Internal"/>
    <n v="1"/>
    <m/>
    <m/>
    <m/>
    <x v="3"/>
    <n v="4"/>
    <n v="4"/>
  </r>
  <r>
    <n v="31"/>
    <s v="Manajemen"/>
    <s v="Hasil produksi sesuai kapasitas produksi"/>
    <x v="29"/>
    <x v="5"/>
    <n v="1"/>
    <m/>
    <s v="Internal"/>
    <m/>
    <n v="1"/>
    <m/>
    <m/>
    <x v="2"/>
    <n v="4"/>
    <n v="-3"/>
  </r>
  <r>
    <n v="37"/>
    <s v="Manajemen"/>
    <s v="Customer menerima kenaikan PPN 12%"/>
    <x v="30"/>
    <x v="8"/>
    <n v="1"/>
    <m/>
    <s v="Internal"/>
    <m/>
    <n v="1"/>
    <m/>
    <m/>
    <x v="2"/>
    <n v="3"/>
    <n v="-4"/>
  </r>
  <r>
    <n v="32"/>
    <s v="Manajemen"/>
    <s v="Inventory FG dikelola dengan baik"/>
    <x v="31"/>
    <x v="5"/>
    <n v="1"/>
    <m/>
    <s v="Internal"/>
    <m/>
    <n v="1"/>
    <m/>
    <m/>
    <x v="2"/>
    <n v="4"/>
    <n v="-4"/>
  </r>
  <r>
    <n v="34"/>
    <s v="Manajemen"/>
    <s v="Akurasi nilai COGS"/>
    <x v="32"/>
    <x v="5"/>
    <n v="1"/>
    <m/>
    <s v="Internal"/>
    <m/>
    <n v="1"/>
    <m/>
    <m/>
    <x v="2"/>
    <n v="4"/>
    <n v="-3"/>
  </r>
  <r>
    <n v="35"/>
    <s v="Masyarakat"/>
    <s v="CINT berpartisipasi dalam Program Tanggung Jawab Sosial Perusahaan (CSR)"/>
    <x v="33"/>
    <x v="8"/>
    <m/>
    <n v="1"/>
    <s v="Eksternal"/>
    <m/>
    <m/>
    <n v="1"/>
    <m/>
    <x v="1"/>
    <n v="3"/>
    <n v="3"/>
  </r>
  <r>
    <n v="36"/>
    <s v="Pemegang saham"/>
    <s v="Pembagian dividen lebih baik dari tahun sebelumnya"/>
    <x v="34"/>
    <x v="9"/>
    <m/>
    <n v="1"/>
    <s v="Eksternal"/>
    <m/>
    <m/>
    <n v="1"/>
    <m/>
    <x v="1"/>
    <n v="4"/>
    <n v="4"/>
  </r>
  <r>
    <m/>
    <s v="Pemegang saham"/>
    <s v="Kenaikan nilai saham"/>
    <x v="35"/>
    <x v="9"/>
    <m/>
    <n v="1"/>
    <s v="Eksternal"/>
    <m/>
    <m/>
    <n v="1"/>
    <m/>
    <x v="1"/>
    <n v="3"/>
    <n v="3"/>
  </r>
  <r>
    <n v="38"/>
    <s v="Pemerintah"/>
    <s v="Produk yang dipasarkan sudah tersertifikasi TKDN dan SNI"/>
    <x v="36"/>
    <x v="8"/>
    <m/>
    <n v="1"/>
    <s v="Eksternal"/>
    <m/>
    <m/>
    <n v="1"/>
    <m/>
    <x v="1"/>
    <n v="4"/>
    <n v="4"/>
  </r>
  <r>
    <n v="39"/>
    <s v="Pemerintah"/>
    <s v="Menaati peraturan perundangan yang berlaku"/>
    <x v="37"/>
    <x v="8"/>
    <m/>
    <n v="1"/>
    <s v="Eksternal"/>
    <m/>
    <m/>
    <m/>
    <n v="1"/>
    <x v="0"/>
    <n v="4"/>
    <n v="-4"/>
  </r>
  <r>
    <m/>
    <s v="Pemerintah"/>
    <s v="Perusahaan beralih ke energi terbarukan"/>
    <x v="38"/>
    <x v="10"/>
    <m/>
    <n v="1"/>
    <s v="Eksternal"/>
    <m/>
    <m/>
    <n v="1"/>
    <m/>
    <x v="1"/>
    <n v="3"/>
    <n v="2"/>
  </r>
  <r>
    <m/>
    <s v="Pemerintah"/>
    <s v="Perusahaan mempunyai program CSR pemberdayaan masyarakat"/>
    <x v="39"/>
    <x v="10"/>
    <m/>
    <n v="1"/>
    <s v="Eksternal"/>
    <m/>
    <m/>
    <n v="1"/>
    <m/>
    <x v="1"/>
    <n v="3"/>
    <n v="2"/>
  </r>
  <r>
    <n v="43"/>
    <s v="Vendor"/>
    <s v="Mendapatkan repeat order"/>
    <x v="40"/>
    <x v="5"/>
    <m/>
    <n v="1"/>
    <s v="Eksternal"/>
    <m/>
    <m/>
    <n v="1"/>
    <m/>
    <x v="1"/>
    <n v="3"/>
    <n v="3"/>
  </r>
  <r>
    <n v="44"/>
    <s v="Vendor"/>
    <s v="Dapat memenuhi permintaan CINT sesuai standar yang ditetapkan"/>
    <x v="41"/>
    <x v="5"/>
    <m/>
    <n v="1"/>
    <s v="Eksternal"/>
    <m/>
    <m/>
    <n v="1"/>
    <m/>
    <x v="1"/>
    <n v="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A6451-634C-4BA4-BFDE-EDE501D25175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5:E17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x="3"/>
        <item h="1"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2"/>
      <x v="1"/>
    </i>
    <i>
      <x v="6"/>
      <x v="11"/>
    </i>
    <i r="1">
      <x v="31"/>
    </i>
    <i>
      <x v="7"/>
      <x v="13"/>
    </i>
    <i r="1">
      <x v="19"/>
    </i>
    <i r="1">
      <x v="21"/>
    </i>
    <i r="1">
      <x v="29"/>
    </i>
    <i>
      <x v="8"/>
      <x v="25"/>
    </i>
    <i r="1">
      <x v="28"/>
    </i>
    <i>
      <x v="10"/>
      <x v="4"/>
    </i>
    <i r="1"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7">
    <format dxfId="287">
      <pivotArea field="4" type="button" dataOnly="0" labelOnly="1" outline="0" axis="axisRow" fieldPosition="0"/>
    </format>
    <format dxfId="286">
      <pivotArea field="3" type="button" dataOnly="0" labelOnly="1" outline="0" axis="axisRow" fieldPosition="1"/>
    </format>
    <format dxfId="285">
      <pivotArea type="all" dataOnly="0" outline="0" fieldPosition="0"/>
    </format>
    <format dxfId="284">
      <pivotArea field="4" type="button" dataOnly="0" labelOnly="1" outline="0" axis="axisRow" fieldPosition="0"/>
    </format>
    <format dxfId="283">
      <pivotArea field="3" type="button" dataOnly="0" labelOnly="1" outline="0" axis="axisRow" fieldPosition="1"/>
    </format>
    <format dxfId="282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81">
      <pivotArea dataOnly="0" labelOnly="1" grandRow="1" outline="0" fieldPosition="0"/>
    </format>
    <format dxfId="280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78">
      <pivotArea type="all" dataOnly="0" outline="0" fieldPosition="0"/>
    </format>
    <format dxfId="277">
      <pivotArea field="4" type="button" dataOnly="0" labelOnly="1" outline="0" axis="axisRow" fieldPosition="0"/>
    </format>
    <format dxfId="276">
      <pivotArea field="3" type="button" dataOnly="0" labelOnly="1" outline="0" axis="axisRow" fieldPosition="1"/>
    </format>
    <format dxfId="275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74">
      <pivotArea dataOnly="0" labelOnly="1" grandRow="1" outline="0" fieldPosition="0"/>
    </format>
    <format dxfId="273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72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71">
      <pivotArea type="all" dataOnly="0" outline="0" fieldPosition="0"/>
    </format>
    <format dxfId="270">
      <pivotArea field="4" type="button" dataOnly="0" labelOnly="1" outline="0" axis="axisRow" fieldPosition="0"/>
    </format>
    <format dxfId="269">
      <pivotArea field="3" type="button" dataOnly="0" labelOnly="1" outline="0" axis="axisRow" fieldPosition="1"/>
    </format>
    <format dxfId="268">
      <pivotArea dataOnly="0" labelOnly="1" grandRow="1" outline="0" fieldPosition="0"/>
    </format>
    <format dxfId="267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66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65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64">
      <pivotArea field="4" type="button" dataOnly="0" labelOnly="1" outline="0" axis="axisRow" fieldPosition="0"/>
    </format>
    <format dxfId="263">
      <pivotArea field="3" type="button" dataOnly="0" labelOnly="1" outline="0" axis="axisRow" fieldPosition="1"/>
    </format>
    <format dxfId="262">
      <pivotArea field="4" type="button" dataOnly="0" labelOnly="1" outline="0" axis="axisRow" fieldPosition="0"/>
    </format>
    <format dxfId="261">
      <pivotArea field="3" type="button" dataOnly="0" labelOnly="1" outline="0" axis="axisRow" fieldPosition="1"/>
    </format>
    <format dxfId="260">
      <pivotArea dataOnly="0" grandRow="1" outline="0" fieldPosition="0"/>
    </format>
    <format dxfId="259">
      <pivotArea dataOnly="0" grandRow="1" outline="0" fieldPosition="0"/>
    </format>
    <format dxfId="258">
      <pivotArea field="4" type="button" dataOnly="0" labelOnly="1" outline="0" axis="axisRow" fieldPosition="0"/>
    </format>
    <format dxfId="257">
      <pivotArea field="3" type="button" dataOnly="0" labelOnly="1" outline="0" axis="axisRow" fieldPosition="1"/>
    </format>
    <format dxfId="256">
      <pivotArea dataOnly="0" labelOnly="1" grandRow="1" outline="0" fieldPosition="0"/>
    </format>
    <format dxfId="255">
      <pivotArea field="4" type="button" dataOnly="0" labelOnly="1" outline="0" axis="axisRow" fieldPosition="0"/>
    </format>
    <format dxfId="254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53">
      <pivotArea dataOnly="0" labelOnly="1" grandRow="1" outline="0" offset="A256" fieldPosition="0"/>
    </format>
    <format dxfId="252">
      <pivotArea dataOnly="0" labelOnly="1" outline="0" fieldPosition="0">
        <references count="2">
          <reference field="3" count="1">
            <x v="11"/>
          </reference>
          <reference field="4" count="1" selected="0">
            <x v="6"/>
          </reference>
        </references>
      </pivotArea>
    </format>
    <format dxfId="251">
      <pivotArea dataOnly="0" labelOnly="1" outline="0" fieldPosition="0">
        <references count="2">
          <reference field="3" count="1" defaultSubtotal="1">
            <x v="11"/>
          </reference>
          <reference field="4" count="1" selected="0">
            <x v="6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90ECD-9A19-44FE-BC0E-5801A0430095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25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h="1" x="3"/>
        <item h="1" x="0"/>
        <item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9">
    <i>
      <x v="1"/>
      <x/>
    </i>
    <i r="1">
      <x v="12"/>
    </i>
    <i>
      <x v="3"/>
      <x v="30"/>
    </i>
    <i>
      <x v="4"/>
      <x v="6"/>
    </i>
    <i r="1">
      <x v="23"/>
    </i>
    <i>
      <x v="7"/>
      <x v="2"/>
    </i>
    <i r="1">
      <x v="7"/>
    </i>
    <i r="1">
      <x v="20"/>
    </i>
    <i r="1">
      <x v="22"/>
    </i>
    <i r="1">
      <x v="24"/>
    </i>
    <i r="1">
      <x v="26"/>
    </i>
    <i r="1">
      <x v="32"/>
    </i>
    <i r="1">
      <x v="34"/>
    </i>
    <i>
      <x v="8"/>
      <x v="33"/>
    </i>
    <i>
      <x v="9"/>
      <x v="17"/>
    </i>
    <i r="1">
      <x v="18"/>
    </i>
    <i r="1">
      <x v="41"/>
    </i>
    <i>
      <x v="10"/>
      <x v="27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250">
      <pivotArea field="4" type="button" dataOnly="0" labelOnly="1" outline="0" axis="axisRow" fieldPosition="0"/>
    </format>
    <format dxfId="249">
      <pivotArea field="3" type="button" dataOnly="0" labelOnly="1" outline="0" axis="axisRow" fieldPosition="1"/>
    </format>
    <format dxfId="248">
      <pivotArea type="all" dataOnly="0" outline="0" fieldPosition="0"/>
    </format>
    <format dxfId="247">
      <pivotArea field="4" type="button" dataOnly="0" labelOnly="1" outline="0" axis="axisRow" fieldPosition="0"/>
    </format>
    <format dxfId="246">
      <pivotArea field="3" type="button" dataOnly="0" labelOnly="1" outline="0" axis="axisRow" fieldPosition="1"/>
    </format>
    <format dxfId="245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44">
      <pivotArea dataOnly="0" labelOnly="1" grandRow="1" outline="0" fieldPosition="0"/>
    </format>
    <format dxfId="243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42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41">
      <pivotArea type="all" dataOnly="0" outline="0" fieldPosition="0"/>
    </format>
    <format dxfId="240">
      <pivotArea field="4" type="button" dataOnly="0" labelOnly="1" outline="0" axis="axisRow" fieldPosition="0"/>
    </format>
    <format dxfId="239">
      <pivotArea field="3" type="button" dataOnly="0" labelOnly="1" outline="0" axis="axisRow" fieldPosition="1"/>
    </format>
    <format dxfId="238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37">
      <pivotArea dataOnly="0" labelOnly="1" grandRow="1" outline="0" fieldPosition="0"/>
    </format>
    <format dxfId="236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35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34">
      <pivotArea type="all" dataOnly="0" outline="0" fieldPosition="0"/>
    </format>
    <format dxfId="233">
      <pivotArea field="4" type="button" dataOnly="0" labelOnly="1" outline="0" axis="axisRow" fieldPosition="0"/>
    </format>
    <format dxfId="232">
      <pivotArea field="3" type="button" dataOnly="0" labelOnly="1" outline="0" axis="axisRow" fieldPosition="1"/>
    </format>
    <format dxfId="231">
      <pivotArea dataOnly="0" labelOnly="1" grandRow="1" outline="0" fieldPosition="0"/>
    </format>
    <format dxfId="230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29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28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27">
      <pivotArea field="4" type="button" dataOnly="0" labelOnly="1" outline="0" axis="axisRow" fieldPosition="0"/>
    </format>
    <format dxfId="226">
      <pivotArea field="3" type="button" dataOnly="0" labelOnly="1" outline="0" axis="axisRow" fieldPosition="1"/>
    </format>
    <format dxfId="225">
      <pivotArea field="4" type="button" dataOnly="0" labelOnly="1" outline="0" axis="axisRow" fieldPosition="0"/>
    </format>
    <format dxfId="224">
      <pivotArea field="3" type="button" dataOnly="0" labelOnly="1" outline="0" axis="axisRow" fieldPosition="1"/>
    </format>
    <format dxfId="223">
      <pivotArea dataOnly="0" grandRow="1" outline="0" fieldPosition="0"/>
    </format>
    <format dxfId="222">
      <pivotArea dataOnly="0" grandRow="1" outline="0" fieldPosition="0"/>
    </format>
    <format dxfId="221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220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218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217">
      <pivotArea field="4" type="button" dataOnly="0" labelOnly="1" outline="0" axis="axisRow" fieldPosition="0"/>
    </format>
    <format dxfId="216">
      <pivotArea field="3" type="button" dataOnly="0" labelOnly="1" outline="0" axis="axisRow" fieldPosition="1"/>
    </format>
    <format dxfId="215">
      <pivotArea dataOnly="0" labelOnly="1" grandRow="1" outline="0" fieldPosition="0"/>
    </format>
    <format dxfId="214">
      <pivotArea field="4" type="button" dataOnly="0" labelOnly="1" outline="0" axis="axisRow" fieldPosition="0"/>
    </format>
    <format dxfId="213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A6FBB-AB06-4DA2-9D2C-87AE985F3506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17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x="1"/>
        <item h="1" x="3"/>
        <item h="1"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1">
    <i>
      <x v="3"/>
      <x v="35"/>
    </i>
    <i r="1">
      <x v="36"/>
    </i>
    <i>
      <x v="5"/>
      <x v="38"/>
    </i>
    <i r="1">
      <x v="39"/>
    </i>
    <i>
      <x v="6"/>
      <x v="8"/>
    </i>
    <i r="1">
      <x v="16"/>
    </i>
    <i>
      <x v="7"/>
      <x v="5"/>
    </i>
    <i r="1">
      <x v="40"/>
    </i>
    <i>
      <x v="8"/>
      <x v="9"/>
    </i>
    <i r="1"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212">
      <pivotArea field="4" type="button" dataOnly="0" labelOnly="1" outline="0" axis="axisRow" fieldPosition="0"/>
    </format>
    <format dxfId="211">
      <pivotArea field="3" type="button" dataOnly="0" labelOnly="1" outline="0" axis="axisRow" fieldPosition="1"/>
    </format>
    <format dxfId="210">
      <pivotArea type="all" dataOnly="0" outline="0" fieldPosition="0"/>
    </format>
    <format dxfId="209">
      <pivotArea field="4" type="button" dataOnly="0" labelOnly="1" outline="0" axis="axisRow" fieldPosition="0"/>
    </format>
    <format dxfId="208">
      <pivotArea field="3" type="button" dataOnly="0" labelOnly="1" outline="0" axis="axisRow" fieldPosition="1"/>
    </format>
    <format dxfId="207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206">
      <pivotArea dataOnly="0" labelOnly="1" grandRow="1" outline="0" fieldPosition="0"/>
    </format>
    <format dxfId="205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204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203">
      <pivotArea type="all" dataOnly="0" outline="0" fieldPosition="0"/>
    </format>
    <format dxfId="202">
      <pivotArea field="4" type="button" dataOnly="0" labelOnly="1" outline="0" axis="axisRow" fieldPosition="0"/>
    </format>
    <format dxfId="201">
      <pivotArea field="3" type="button" dataOnly="0" labelOnly="1" outline="0" axis="axisRow" fieldPosition="1"/>
    </format>
    <format dxfId="200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99">
      <pivotArea dataOnly="0" labelOnly="1" grandRow="1" outline="0" fieldPosition="0"/>
    </format>
    <format dxfId="198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97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96">
      <pivotArea type="all" dataOnly="0" outline="0" fieldPosition="0"/>
    </format>
    <format dxfId="195">
      <pivotArea field="4" type="button" dataOnly="0" labelOnly="1" outline="0" axis="axisRow" fieldPosition="0"/>
    </format>
    <format dxfId="194">
      <pivotArea field="3" type="button" dataOnly="0" labelOnly="1" outline="0" axis="axisRow" fieldPosition="1"/>
    </format>
    <format dxfId="193">
      <pivotArea dataOnly="0" labelOnly="1" grandRow="1" outline="0" fieldPosition="0"/>
    </format>
    <format dxfId="192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91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90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89">
      <pivotArea field="4" type="button" dataOnly="0" labelOnly="1" outline="0" axis="axisRow" fieldPosition="0"/>
    </format>
    <format dxfId="188">
      <pivotArea field="3" type="button" dataOnly="0" labelOnly="1" outline="0" axis="axisRow" fieldPosition="1"/>
    </format>
    <format dxfId="187">
      <pivotArea field="4" type="button" dataOnly="0" labelOnly="1" outline="0" axis="axisRow" fieldPosition="0"/>
    </format>
    <format dxfId="186">
      <pivotArea field="3" type="button" dataOnly="0" labelOnly="1" outline="0" axis="axisRow" fieldPosition="1"/>
    </format>
    <format dxfId="185">
      <pivotArea dataOnly="0" grandRow="1" outline="0" fieldPosition="0"/>
    </format>
    <format dxfId="184">
      <pivotArea dataOnly="0" grandRow="1" outline="0" fieldPosition="0"/>
    </format>
    <format dxfId="183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182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181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180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179">
      <pivotArea field="4" type="button" dataOnly="0" labelOnly="1" outline="0" axis="axisRow" fieldPosition="0"/>
    </format>
    <format dxfId="178">
      <pivotArea field="3" type="button" dataOnly="0" labelOnly="1" outline="0" axis="axisRow" fieldPosition="1"/>
    </format>
    <format dxfId="177">
      <pivotArea dataOnly="0" labelOnly="1" grandRow="1" outline="0" fieldPosition="0"/>
    </format>
    <format dxfId="176">
      <pivotArea field="4" type="button" dataOnly="0" labelOnly="1" outline="0" axis="axisRow" fieldPosition="0"/>
    </format>
    <format dxfId="175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0584D-A904-4CC3-B881-D5A3D7128BA6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E10" firstHeaderRow="0" firstDataRow="1" firstDataCol="2" rowPageCount="1" colPageCount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10"/>
        <item x="32"/>
        <item x="0"/>
        <item x="14"/>
        <item x="41"/>
        <item x="6"/>
        <item x="18"/>
        <item x="2"/>
        <item x="36"/>
        <item x="23"/>
        <item x="8"/>
        <item x="24"/>
        <item x="16"/>
        <item x="33"/>
        <item x="1"/>
        <item x="3"/>
        <item x="4"/>
        <item x="5"/>
        <item x="9"/>
        <item x="11"/>
        <item x="12"/>
        <item x="13"/>
        <item x="17"/>
        <item x="19"/>
        <item x="20"/>
        <item x="21"/>
        <item x="22"/>
        <item x="25"/>
        <item x="26"/>
        <item x="27"/>
        <item x="28"/>
        <item x="29"/>
        <item x="30"/>
        <item x="31"/>
        <item x="34"/>
        <item x="35"/>
        <item x="37"/>
        <item x="38"/>
        <item x="39"/>
        <item x="40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4"/>
        <item x="6"/>
        <item x="9"/>
        <item x="3"/>
        <item x="10"/>
        <item x="1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h="1" x="1"/>
        <item h="1" x="3"/>
        <item x="0"/>
        <item h="1" x="2"/>
        <item h="1"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">
    <i>
      <x/>
      <x v="3"/>
    </i>
    <i r="1">
      <x v="15"/>
    </i>
    <i>
      <x v="8"/>
      <x v="37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 of BOBOT" fld="13" baseField="0" baseItem="0"/>
    <dataField name="Sum of RATING" fld="14" baseField="0" baseItem="0"/>
  </dataFields>
  <formats count="38">
    <format dxfId="174">
      <pivotArea field="4" type="button" dataOnly="0" labelOnly="1" outline="0" axis="axisRow" fieldPosition="0"/>
    </format>
    <format dxfId="173">
      <pivotArea field="3" type="button" dataOnly="0" labelOnly="1" outline="0" axis="axisRow" fieldPosition="1"/>
    </format>
    <format dxfId="172">
      <pivotArea type="all" dataOnly="0" outline="0" fieldPosition="0"/>
    </format>
    <format dxfId="171">
      <pivotArea field="4" type="button" dataOnly="0" labelOnly="1" outline="0" axis="axisRow" fieldPosition="0"/>
    </format>
    <format dxfId="170">
      <pivotArea field="3" type="button" dataOnly="0" labelOnly="1" outline="0" axis="axisRow" fieldPosition="1"/>
    </format>
    <format dxfId="169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68">
      <pivotArea dataOnly="0" labelOnly="1" grandRow="1" outline="0" fieldPosition="0"/>
    </format>
    <format dxfId="167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66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65">
      <pivotArea type="all" dataOnly="0" outline="0" fieldPosition="0"/>
    </format>
    <format dxfId="164">
      <pivotArea field="4" type="button" dataOnly="0" labelOnly="1" outline="0" axis="axisRow" fieldPosition="0"/>
    </format>
    <format dxfId="163">
      <pivotArea field="3" type="button" dataOnly="0" labelOnly="1" outline="0" axis="axisRow" fieldPosition="1"/>
    </format>
    <format dxfId="162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61">
      <pivotArea dataOnly="0" labelOnly="1" grandRow="1" outline="0" fieldPosition="0"/>
    </format>
    <format dxfId="160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59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58">
      <pivotArea type="all" dataOnly="0" outline="0" fieldPosition="0"/>
    </format>
    <format dxfId="157">
      <pivotArea field="4" type="button" dataOnly="0" labelOnly="1" outline="0" axis="axisRow" fieldPosition="0"/>
    </format>
    <format dxfId="156">
      <pivotArea field="3" type="button" dataOnly="0" labelOnly="1" outline="0" axis="axisRow" fieldPosition="1"/>
    </format>
    <format dxfId="155">
      <pivotArea dataOnly="0" labelOnly="1" grandRow="1" outline="0" fieldPosition="0"/>
    </format>
    <format dxfId="154">
      <pivotArea dataOnly="0" labelOnly="1" outline="0" fieldPosition="0">
        <references count="1">
          <reference field="4" count="6">
            <x v="2"/>
            <x v="4"/>
            <x v="5"/>
            <x v="7"/>
            <x v="8"/>
            <x v="10"/>
          </reference>
        </references>
      </pivotArea>
    </format>
    <format dxfId="153">
      <pivotArea dataOnly="0" labelOnly="1" outline="0" fieldPosition="0">
        <references count="2">
          <reference field="3" count="1">
            <x v="1"/>
          </reference>
          <reference field="4" count="1" selected="0">
            <x v="2"/>
          </reference>
        </references>
      </pivotArea>
    </format>
    <format dxfId="152">
      <pivotArea dataOnly="0" labelOnly="1" outline="0" fieldPosition="0">
        <references count="2">
          <reference field="3" count="1">
            <x v="10"/>
          </reference>
          <reference field="4" count="1" selected="0">
            <x v="10"/>
          </reference>
        </references>
      </pivotArea>
    </format>
    <format dxfId="151">
      <pivotArea field="4" type="button" dataOnly="0" labelOnly="1" outline="0" axis="axisRow" fieldPosition="0"/>
    </format>
    <format dxfId="150">
      <pivotArea field="3" type="button" dataOnly="0" labelOnly="1" outline="0" axis="axisRow" fieldPosition="1"/>
    </format>
    <format dxfId="149">
      <pivotArea field="4" type="button" dataOnly="0" labelOnly="1" outline="0" axis="axisRow" fieldPosition="0"/>
    </format>
    <format dxfId="148">
      <pivotArea field="3" type="button" dataOnly="0" labelOnly="1" outline="0" axis="axisRow" fieldPosition="1"/>
    </format>
    <format dxfId="147">
      <pivotArea dataOnly="0" grandRow="1" outline="0" fieldPosition="0"/>
    </format>
    <format dxfId="146">
      <pivotArea dataOnly="0" grandRow="1" outline="0" fieldPosition="0"/>
    </format>
    <format dxfId="145">
      <pivotArea dataOnly="0" labelOnly="1" outline="0" fieldPosition="0">
        <references count="1">
          <reference field="4" count="5">
            <x v="1"/>
            <x v="3"/>
            <x v="4"/>
            <x v="7"/>
            <x v="9"/>
          </reference>
        </references>
      </pivotArea>
    </format>
    <format dxfId="144">
      <pivotArea dataOnly="0" labelOnly="1" outline="0" fieldPosition="0">
        <references count="2">
          <reference field="3" count="2">
            <x v="0"/>
            <x v="12"/>
          </reference>
          <reference field="4" count="1" selected="0">
            <x v="1"/>
          </reference>
        </references>
      </pivotArea>
    </format>
    <format dxfId="143">
      <pivotArea dataOnly="0" labelOnly="1" outline="0" fieldPosition="0">
        <references count="2">
          <reference field="3" count="1">
            <x v="6"/>
          </reference>
          <reference field="4" count="1" selected="0">
            <x v="4"/>
          </reference>
        </references>
      </pivotArea>
    </format>
    <format dxfId="142">
      <pivotArea dataOnly="0" labelOnly="1" outline="0" fieldPosition="0">
        <references count="2">
          <reference field="3" count="2">
            <x v="2"/>
            <x v="7"/>
          </reference>
          <reference field="4" count="1" selected="0">
            <x v="7"/>
          </reference>
        </references>
      </pivotArea>
    </format>
    <format dxfId="141">
      <pivotArea field="4" type="button" dataOnly="0" labelOnly="1" outline="0" axis="axisRow" fieldPosition="0"/>
    </format>
    <format dxfId="140">
      <pivotArea field="3" type="button" dataOnly="0" labelOnly="1" outline="0" axis="axisRow" fieldPosition="1"/>
    </format>
    <format dxfId="139">
      <pivotArea dataOnly="0" labelOnly="1" grandRow="1" outline="0" fieldPosition="0"/>
    </format>
    <format dxfId="138">
      <pivotArea field="4" type="button" dataOnly="0" labelOnly="1" outline="0" axis="axisRow" fieldPosition="0"/>
    </format>
    <format dxfId="137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756" t="s">
        <v>164</v>
      </c>
      <c r="B1" s="756"/>
      <c r="C1" s="756"/>
      <c r="D1" s="756"/>
      <c r="E1" s="756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EF5F-4DCB-497E-B302-0AFEEEACBF95}">
  <dimension ref="A1:G31"/>
  <sheetViews>
    <sheetView showGridLines="0" zoomScale="90" zoomScaleNormal="90" workbookViewId="0">
      <selection activeCell="C37" sqref="C37"/>
    </sheetView>
  </sheetViews>
  <sheetFormatPr defaultColWidth="9.140625" defaultRowHeight="15" x14ac:dyDescent="0.25"/>
  <cols>
    <col min="1" max="1" width="5.7109375" style="193" customWidth="1"/>
    <col min="2" max="2" width="25.28515625" style="192" customWidth="1"/>
    <col min="3" max="3" width="61.7109375" style="192" bestFit="1" customWidth="1"/>
    <col min="4" max="4" width="13.85546875" style="192" bestFit="1" customWidth="1"/>
    <col min="5" max="5" width="14.42578125" style="192" bestFit="1" customWidth="1"/>
    <col min="6" max="16384" width="9.140625" style="192"/>
  </cols>
  <sheetData>
    <row r="1" spans="1:5" ht="23.25" x14ac:dyDescent="0.35">
      <c r="A1" s="774" t="s">
        <v>478</v>
      </c>
      <c r="B1" s="774"/>
      <c r="C1" s="774"/>
    </row>
    <row r="2" spans="1:5" s="350" customFormat="1" ht="15.75" x14ac:dyDescent="0.25">
      <c r="A2" s="349"/>
      <c r="B2" s="349"/>
      <c r="C2" s="349"/>
    </row>
    <row r="4" spans="1:5" hidden="1" x14ac:dyDescent="0.25">
      <c r="B4" s="702" t="s">
        <v>477</v>
      </c>
      <c r="C4" s="703" t="s">
        <v>10</v>
      </c>
    </row>
    <row r="5" spans="1:5" hidden="1" x14ac:dyDescent="0.25">
      <c r="B5" s="193"/>
    </row>
    <row r="6" spans="1:5" hidden="1" x14ac:dyDescent="0.25">
      <c r="A6" s="727" t="s">
        <v>14</v>
      </c>
      <c r="B6" s="355" t="s">
        <v>4</v>
      </c>
      <c r="C6" s="355" t="s">
        <v>98</v>
      </c>
      <c r="D6" s="708" t="s">
        <v>915</v>
      </c>
      <c r="E6" s="711" t="s">
        <v>916</v>
      </c>
    </row>
    <row r="7" spans="1:5" hidden="1" x14ac:dyDescent="0.25">
      <c r="B7" s="704" t="s">
        <v>115</v>
      </c>
      <c r="C7" s="708" t="s">
        <v>590</v>
      </c>
      <c r="D7" s="708">
        <v>4</v>
      </c>
      <c r="E7" s="711">
        <v>-3</v>
      </c>
    </row>
    <row r="8" spans="1:5" hidden="1" x14ac:dyDescent="0.25">
      <c r="B8" s="704" t="s">
        <v>115</v>
      </c>
      <c r="C8" s="708" t="s">
        <v>863</v>
      </c>
      <c r="D8" s="708">
        <v>3</v>
      </c>
      <c r="E8" s="711">
        <v>-3</v>
      </c>
    </row>
    <row r="9" spans="1:5" hidden="1" x14ac:dyDescent="0.25">
      <c r="B9" t="s">
        <v>101</v>
      </c>
      <c r="C9" s="708" t="s">
        <v>888</v>
      </c>
      <c r="D9" s="708">
        <v>4</v>
      </c>
      <c r="E9" s="711">
        <v>-4</v>
      </c>
    </row>
    <row r="10" spans="1:5" hidden="1" x14ac:dyDescent="0.25">
      <c r="B10" s="348" t="s">
        <v>475</v>
      </c>
      <c r="C10" s="348"/>
      <c r="D10" s="712">
        <v>11</v>
      </c>
      <c r="E10" s="713">
        <v>-10</v>
      </c>
    </row>
    <row r="11" spans="1:5" hidden="1" x14ac:dyDescent="0.25">
      <c r="B11"/>
      <c r="C11"/>
      <c r="D11"/>
      <c r="E11"/>
    </row>
    <row r="12" spans="1:5" hidden="1" x14ac:dyDescent="0.25">
      <c r="B12"/>
      <c r="C12"/>
      <c r="D12"/>
      <c r="E12"/>
    </row>
    <row r="13" spans="1:5" hidden="1" x14ac:dyDescent="0.25">
      <c r="B13"/>
      <c r="C13"/>
      <c r="D13"/>
      <c r="E13"/>
    </row>
    <row r="14" spans="1:5" hidden="1" x14ac:dyDescent="0.25">
      <c r="B14"/>
      <c r="C14"/>
      <c r="D14"/>
      <c r="E14"/>
    </row>
    <row r="15" spans="1:5" hidden="1" x14ac:dyDescent="0.25">
      <c r="B15"/>
      <c r="C15"/>
      <c r="D15"/>
      <c r="E15"/>
    </row>
    <row r="16" spans="1:5" hidden="1" x14ac:dyDescent="0.25">
      <c r="B16"/>
      <c r="C16"/>
      <c r="D16"/>
      <c r="E16"/>
    </row>
    <row r="17" spans="1:7" hidden="1" x14ac:dyDescent="0.25">
      <c r="B17"/>
      <c r="C17"/>
      <c r="D17"/>
      <c r="E17"/>
    </row>
    <row r="18" spans="1:7" hidden="1" x14ac:dyDescent="0.25">
      <c r="B18"/>
      <c r="C18"/>
      <c r="D18"/>
      <c r="E18"/>
    </row>
    <row r="19" spans="1:7" hidden="1" x14ac:dyDescent="0.25">
      <c r="B19"/>
      <c r="C19"/>
      <c r="D19"/>
      <c r="E19"/>
    </row>
    <row r="20" spans="1:7" hidden="1" x14ac:dyDescent="0.25">
      <c r="B20"/>
      <c r="C20"/>
      <c r="D20"/>
      <c r="E20"/>
    </row>
    <row r="21" spans="1:7" hidden="1" x14ac:dyDescent="0.25">
      <c r="B21"/>
      <c r="C21"/>
      <c r="D21"/>
      <c r="E21"/>
    </row>
    <row r="22" spans="1:7" hidden="1" x14ac:dyDescent="0.25">
      <c r="B22"/>
      <c r="C22"/>
      <c r="D22"/>
      <c r="E22"/>
    </row>
    <row r="23" spans="1:7" hidden="1" x14ac:dyDescent="0.25">
      <c r="B23"/>
      <c r="C23"/>
      <c r="D23"/>
      <c r="E23"/>
    </row>
    <row r="24" spans="1:7" hidden="1" x14ac:dyDescent="0.25">
      <c r="B24"/>
      <c r="C24"/>
    </row>
    <row r="25" spans="1:7" x14ac:dyDescent="0.25">
      <c r="B25"/>
      <c r="C25"/>
    </row>
    <row r="27" spans="1:7" x14ac:dyDescent="0.25">
      <c r="A27" s="717" t="s">
        <v>14</v>
      </c>
      <c r="B27" s="726" t="s">
        <v>4</v>
      </c>
      <c r="C27" s="726" t="s">
        <v>98</v>
      </c>
      <c r="D27" s="726" t="s">
        <v>439</v>
      </c>
      <c r="E27" s="726" t="s">
        <v>441</v>
      </c>
      <c r="F27" s="726" t="s">
        <v>440</v>
      </c>
      <c r="G27" s="726" t="s">
        <v>442</v>
      </c>
    </row>
    <row r="28" spans="1:7" x14ac:dyDescent="0.25">
      <c r="A28" s="193">
        <v>1</v>
      </c>
      <c r="B28" s="192" t="str">
        <f t="shared" ref="B28:E31" si="0">B7</f>
        <v>Harga Produk</v>
      </c>
      <c r="C28" s="192" t="str">
        <f t="shared" si="0"/>
        <v>Harga Produk Chitose lebih mahal dibandingkan dengan brand lain</v>
      </c>
      <c r="D28" s="192">
        <f t="shared" si="0"/>
        <v>4</v>
      </c>
      <c r="E28" s="192">
        <f t="shared" si="0"/>
        <v>-3</v>
      </c>
      <c r="F28" s="728">
        <f>D28/$D$31</f>
        <v>0.36363636363636365</v>
      </c>
      <c r="G28" s="728">
        <f>F28*E28</f>
        <v>-1.0909090909090908</v>
      </c>
    </row>
    <row r="29" spans="1:7" x14ac:dyDescent="0.25">
      <c r="A29" s="193">
        <v>2</v>
      </c>
      <c r="B29" s="192" t="str">
        <f t="shared" si="0"/>
        <v>Harga Produk</v>
      </c>
      <c r="C29" s="192" t="str">
        <f t="shared" si="0"/>
        <v>Pemenuhan order tidak sesuai dengan permintaan customer</v>
      </c>
      <c r="D29" s="192">
        <f t="shared" si="0"/>
        <v>3</v>
      </c>
      <c r="E29" s="192">
        <f t="shared" si="0"/>
        <v>-3</v>
      </c>
      <c r="F29" s="728">
        <f t="shared" ref="F29:F30" si="1">D29/$D$31</f>
        <v>0.27272727272727271</v>
      </c>
      <c r="G29" s="728">
        <f t="shared" ref="G29:G30" si="2">F29*E29</f>
        <v>-0.81818181818181812</v>
      </c>
    </row>
    <row r="30" spans="1:7" x14ac:dyDescent="0.25">
      <c r="A30" s="193">
        <v>3</v>
      </c>
      <c r="B30" s="192" t="str">
        <f t="shared" si="0"/>
        <v>Regulasi</v>
      </c>
      <c r="C30" s="192" t="str">
        <f t="shared" si="0"/>
        <v>Peraturan perundangan perubahan dan baru</v>
      </c>
      <c r="D30" s="192">
        <f t="shared" si="0"/>
        <v>4</v>
      </c>
      <c r="E30" s="192">
        <f t="shared" si="0"/>
        <v>-4</v>
      </c>
      <c r="F30" s="728">
        <f t="shared" si="1"/>
        <v>0.36363636363636365</v>
      </c>
      <c r="G30" s="728">
        <f t="shared" si="2"/>
        <v>-1.4545454545454546</v>
      </c>
    </row>
    <row r="31" spans="1:7" x14ac:dyDescent="0.25">
      <c r="A31" s="716"/>
      <c r="B31" s="725" t="str">
        <f t="shared" si="0"/>
        <v>Grand Total</v>
      </c>
      <c r="C31" s="725"/>
      <c r="D31" s="725">
        <f t="shared" si="0"/>
        <v>11</v>
      </c>
      <c r="E31" s="725">
        <f t="shared" si="0"/>
        <v>-10</v>
      </c>
      <c r="F31" s="733">
        <f>SUM(F28:F30)</f>
        <v>1</v>
      </c>
      <c r="G31" s="733">
        <f>SUM(G28:G30)</f>
        <v>-3.3636363636363633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abSelected="1" zoomScale="70" zoomScaleNormal="70" workbookViewId="0">
      <selection activeCell="V12" sqref="V12"/>
    </sheetView>
  </sheetViews>
  <sheetFormatPr defaultRowHeight="15" x14ac:dyDescent="0.25"/>
  <cols>
    <col min="1" max="1" width="4.42578125" customWidth="1"/>
    <col min="2" max="2" width="15.85546875" bestFit="1" customWidth="1"/>
    <col min="3" max="4" width="18.42578125" customWidth="1"/>
    <col min="5" max="5" width="16" customWidth="1"/>
    <col min="6" max="6" width="9.28515625" customWidth="1"/>
  </cols>
  <sheetData>
    <row r="2" spans="2:19" x14ac:dyDescent="0.25">
      <c r="B2" s="101" t="s">
        <v>165</v>
      </c>
      <c r="C2" s="101" t="s">
        <v>480</v>
      </c>
      <c r="D2" s="101" t="s">
        <v>481</v>
      </c>
      <c r="E2" s="101" t="s">
        <v>482</v>
      </c>
      <c r="F2" s="9"/>
    </row>
    <row r="3" spans="2:19" x14ac:dyDescent="0.25">
      <c r="B3" s="778" t="s">
        <v>483</v>
      </c>
      <c r="C3" s="199" t="s">
        <v>438</v>
      </c>
      <c r="D3" s="199" t="s">
        <v>478</v>
      </c>
      <c r="E3" s="779">
        <f>(C4+D4)</f>
        <v>0.59523809523809534</v>
      </c>
      <c r="F3" s="782"/>
    </row>
    <row r="4" spans="2:19" x14ac:dyDescent="0.25">
      <c r="B4" s="778"/>
      <c r="C4" s="211">
        <f>Strenght!G32</f>
        <v>3.547619047619047</v>
      </c>
      <c r="D4" s="211">
        <f>Weakness!G46</f>
        <v>-2.9523809523809517</v>
      </c>
      <c r="E4" s="780"/>
      <c r="F4" s="783"/>
    </row>
    <row r="5" spans="2:19" x14ac:dyDescent="0.25">
      <c r="B5" s="778" t="s">
        <v>484</v>
      </c>
      <c r="C5" s="199" t="s">
        <v>485</v>
      </c>
      <c r="D5" s="199" t="s">
        <v>479</v>
      </c>
      <c r="E5" s="779">
        <f>(C6+D6)</f>
        <v>-0.27272727272727249</v>
      </c>
      <c r="F5" s="782"/>
    </row>
    <row r="6" spans="2:19" x14ac:dyDescent="0.25">
      <c r="B6" s="778"/>
      <c r="C6" s="211">
        <f>Opportunity!G38</f>
        <v>3.0909090909090908</v>
      </c>
      <c r="D6" s="211">
        <f>Threat!G31</f>
        <v>-3.3636363636363633</v>
      </c>
      <c r="E6" s="780"/>
      <c r="F6" s="783"/>
    </row>
    <row r="7" spans="2:19" ht="35.25" customHeight="1" thickBot="1" x14ac:dyDescent="0.3">
      <c r="B7" s="212"/>
      <c r="C7" s="213"/>
      <c r="D7" s="214"/>
      <c r="K7" s="781" t="s">
        <v>486</v>
      </c>
      <c r="L7" s="781"/>
      <c r="M7" s="781"/>
      <c r="N7" s="781"/>
    </row>
    <row r="8" spans="2:19" ht="43.5" customHeight="1" thickTop="1" x14ac:dyDescent="0.25">
      <c r="B8" s="7" t="s">
        <v>487</v>
      </c>
      <c r="C8" s="7" t="s">
        <v>488</v>
      </c>
      <c r="D8" s="235" t="s">
        <v>489</v>
      </c>
      <c r="G8" s="215" t="s">
        <v>490</v>
      </c>
      <c r="H8" s="216" t="s">
        <v>491</v>
      </c>
      <c r="I8" s="217"/>
      <c r="J8" s="218"/>
      <c r="K8" s="218"/>
      <c r="L8" s="776" t="s">
        <v>9</v>
      </c>
      <c r="M8" s="776"/>
      <c r="N8" s="218"/>
      <c r="O8" s="219"/>
      <c r="P8" s="219"/>
      <c r="Q8" s="220" t="s">
        <v>492</v>
      </c>
      <c r="R8" s="221" t="s">
        <v>493</v>
      </c>
    </row>
    <row r="9" spans="2:19" ht="43.5" customHeight="1" x14ac:dyDescent="0.25">
      <c r="B9" s="222" t="s">
        <v>494</v>
      </c>
      <c r="C9" s="223">
        <f>C4*C6</f>
        <v>10.965367965367964</v>
      </c>
      <c r="D9" s="222">
        <v>2</v>
      </c>
      <c r="G9" s="224"/>
      <c r="M9" s="225"/>
      <c r="R9" s="226"/>
    </row>
    <row r="10" spans="2:19" ht="43.5" customHeight="1" x14ac:dyDescent="0.25">
      <c r="B10" s="222" t="s">
        <v>495</v>
      </c>
      <c r="C10" s="223">
        <f>C6*D4</f>
        <v>-9.1255411255411225</v>
      </c>
      <c r="D10" s="222">
        <v>4</v>
      </c>
      <c r="G10" s="224"/>
      <c r="M10" s="225"/>
      <c r="R10" s="226"/>
    </row>
    <row r="11" spans="2:19" ht="43.5" customHeight="1" x14ac:dyDescent="0.25">
      <c r="B11" s="222" t="s">
        <v>496</v>
      </c>
      <c r="C11" s="223">
        <f>D4*D6</f>
        <v>9.9307359307359278</v>
      </c>
      <c r="D11" s="222">
        <v>3</v>
      </c>
      <c r="G11" s="224"/>
      <c r="M11" s="225"/>
      <c r="R11" s="226"/>
    </row>
    <row r="12" spans="2:19" ht="43.5" customHeight="1" x14ac:dyDescent="0.25">
      <c r="B12" s="222" t="s">
        <v>497</v>
      </c>
      <c r="C12" s="223">
        <f>C4*D6</f>
        <v>-11.93290043290043</v>
      </c>
      <c r="D12" s="222">
        <v>1</v>
      </c>
      <c r="F12" s="777" t="s">
        <v>498</v>
      </c>
      <c r="G12" s="224"/>
      <c r="M12" s="225"/>
      <c r="R12" s="226"/>
      <c r="S12" s="784" t="s">
        <v>499</v>
      </c>
    </row>
    <row r="13" spans="2:19" ht="43.5" customHeight="1" x14ac:dyDescent="0.25">
      <c r="F13" s="777"/>
      <c r="G13" s="785" t="s">
        <v>8</v>
      </c>
      <c r="H13" s="227"/>
      <c r="I13" s="227"/>
      <c r="J13" s="227"/>
      <c r="K13" s="227"/>
      <c r="L13" s="227"/>
      <c r="M13" s="228"/>
      <c r="N13" s="227"/>
      <c r="O13" s="227"/>
      <c r="P13" s="227"/>
      <c r="Q13" s="227"/>
      <c r="R13" s="786" t="s">
        <v>7</v>
      </c>
      <c r="S13" s="784"/>
    </row>
    <row r="14" spans="2:19" ht="43.5" customHeight="1" x14ac:dyDescent="0.25">
      <c r="F14" s="777"/>
      <c r="G14" s="785"/>
      <c r="M14" s="225"/>
      <c r="R14" s="786"/>
      <c r="S14" s="784"/>
    </row>
    <row r="15" spans="2:19" ht="43.5" customHeight="1" x14ac:dyDescent="0.25">
      <c r="F15" s="777"/>
      <c r="G15" s="224"/>
      <c r="M15" s="225"/>
      <c r="R15" s="226"/>
      <c r="S15" s="784"/>
    </row>
    <row r="16" spans="2:19" ht="43.5" customHeight="1" x14ac:dyDescent="0.25">
      <c r="G16" s="224"/>
      <c r="M16" s="225"/>
      <c r="R16" s="226"/>
    </row>
    <row r="17" spans="7:18" ht="43.5" customHeight="1" x14ac:dyDescent="0.25">
      <c r="G17" s="224"/>
      <c r="M17" s="225"/>
      <c r="R17" s="226"/>
    </row>
    <row r="18" spans="7:18" ht="43.5" customHeight="1" x14ac:dyDescent="0.25">
      <c r="G18" s="224"/>
      <c r="M18" s="225"/>
      <c r="R18" s="226"/>
    </row>
    <row r="19" spans="7:18" ht="43.5" customHeight="1" thickBot="1" x14ac:dyDescent="0.3">
      <c r="G19" s="229" t="s">
        <v>500</v>
      </c>
      <c r="H19" s="230" t="s">
        <v>501</v>
      </c>
      <c r="I19" s="231"/>
      <c r="J19" s="231"/>
      <c r="K19" s="231"/>
      <c r="L19" s="787" t="s">
        <v>10</v>
      </c>
      <c r="M19" s="787"/>
      <c r="N19" s="232"/>
      <c r="O19" s="232"/>
      <c r="P19" s="232"/>
      <c r="Q19" s="233" t="s">
        <v>502</v>
      </c>
      <c r="R19" s="234" t="s">
        <v>503</v>
      </c>
    </row>
    <row r="20" spans="7:18" ht="38.25" customHeight="1" thickTop="1" x14ac:dyDescent="0.25">
      <c r="K20" s="788" t="s">
        <v>504</v>
      </c>
      <c r="L20" s="788"/>
      <c r="M20" s="788"/>
      <c r="N20" s="788"/>
    </row>
  </sheetData>
  <mergeCells count="14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  <mergeCell ref="F3:F4"/>
    <mergeCell ref="F5:F6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0"/>
  <sheetViews>
    <sheetView showGridLines="0" topLeftCell="A46" zoomScale="85" zoomScaleNormal="85" workbookViewId="0">
      <selection activeCell="B56" sqref="B56"/>
    </sheetView>
  </sheetViews>
  <sheetFormatPr defaultColWidth="9.140625" defaultRowHeight="15" x14ac:dyDescent="0.25"/>
  <cols>
    <col min="1" max="1" width="68.5703125" style="236" customWidth="1"/>
    <col min="2" max="2" width="8.42578125" style="237" customWidth="1"/>
    <col min="3" max="3" width="6.42578125" style="237" customWidth="1"/>
    <col min="4" max="4" width="4.5703125" style="237" bestFit="1" customWidth="1"/>
    <col min="5" max="5" width="70.5703125" style="236" customWidth="1"/>
    <col min="6" max="6" width="6.42578125" style="751" customWidth="1"/>
    <col min="7" max="7" width="6.42578125" style="237" customWidth="1"/>
    <col min="8" max="8" width="81.42578125" style="236" bestFit="1" customWidth="1"/>
    <col min="9" max="10" width="6.42578125" style="237" customWidth="1"/>
    <col min="11" max="16384" width="9.140625" style="237"/>
  </cols>
  <sheetData>
    <row r="1" spans="1:10" x14ac:dyDescent="0.25">
      <c r="J1" s="238" t="s">
        <v>505</v>
      </c>
    </row>
    <row r="2" spans="1:10" ht="15.75" thickBot="1" x14ac:dyDescent="0.3">
      <c r="A2" s="239"/>
      <c r="B2" s="240"/>
      <c r="C2" s="240"/>
      <c r="D2" s="240"/>
      <c r="E2" s="253"/>
      <c r="F2" s="738" t="s">
        <v>506</v>
      </c>
      <c r="G2" s="242" t="s">
        <v>507</v>
      </c>
      <c r="H2" s="241"/>
      <c r="I2" s="243" t="s">
        <v>508</v>
      </c>
      <c r="J2" s="244" t="s">
        <v>509</v>
      </c>
    </row>
    <row r="3" spans="1:10" ht="15.75" thickTop="1" x14ac:dyDescent="0.25">
      <c r="A3" s="818" t="s">
        <v>575</v>
      </c>
      <c r="B3" s="819"/>
      <c r="C3" s="819"/>
      <c r="D3" s="820"/>
      <c r="E3" s="314" t="s">
        <v>577</v>
      </c>
      <c r="F3" s="752">
        <v>1</v>
      </c>
      <c r="G3" s="315">
        <v>7</v>
      </c>
      <c r="H3" s="323" t="s">
        <v>613</v>
      </c>
      <c r="I3" s="287">
        <v>10</v>
      </c>
      <c r="J3" s="288">
        <v>7</v>
      </c>
    </row>
    <row r="4" spans="1:10" ht="45" x14ac:dyDescent="0.25">
      <c r="A4" s="821"/>
      <c r="B4" s="822"/>
      <c r="C4" s="822"/>
      <c r="D4" s="823"/>
      <c r="E4" s="316" t="s">
        <v>619</v>
      </c>
      <c r="F4" s="741" t="s">
        <v>922</v>
      </c>
      <c r="G4" s="753" t="s">
        <v>952</v>
      </c>
      <c r="H4" s="298" t="s">
        <v>580</v>
      </c>
      <c r="I4" s="275">
        <v>10</v>
      </c>
      <c r="J4" s="278">
        <v>7</v>
      </c>
    </row>
    <row r="5" spans="1:10" x14ac:dyDescent="0.25">
      <c r="A5" s="821"/>
      <c r="B5" s="822"/>
      <c r="C5" s="822"/>
      <c r="D5" s="823"/>
      <c r="E5" s="318" t="s">
        <v>889</v>
      </c>
      <c r="F5" s="248">
        <v>3</v>
      </c>
      <c r="G5" s="319">
        <v>3</v>
      </c>
      <c r="H5" s="298" t="s">
        <v>877</v>
      </c>
      <c r="I5" s="739">
        <v>2</v>
      </c>
      <c r="J5" s="740">
        <v>10</v>
      </c>
    </row>
    <row r="6" spans="1:10" x14ac:dyDescent="0.25">
      <c r="A6" s="821"/>
      <c r="B6" s="822"/>
      <c r="C6" s="822"/>
      <c r="D6" s="823"/>
      <c r="E6" s="318" t="s">
        <v>623</v>
      </c>
      <c r="F6" s="270">
        <v>4</v>
      </c>
      <c r="G6" s="317">
        <v>1</v>
      </c>
      <c r="H6" s="298" t="s">
        <v>612</v>
      </c>
      <c r="I6" s="275">
        <v>3.5</v>
      </c>
      <c r="J6" s="278">
        <v>1</v>
      </c>
    </row>
    <row r="7" spans="1:10" ht="30" x14ac:dyDescent="0.25">
      <c r="A7" s="821"/>
      <c r="B7" s="822"/>
      <c r="C7" s="822"/>
      <c r="D7" s="823"/>
      <c r="E7" s="318" t="s">
        <v>896</v>
      </c>
      <c r="F7" s="245">
        <v>1</v>
      </c>
      <c r="G7" s="319">
        <v>5</v>
      </c>
      <c r="H7" s="750" t="s">
        <v>583</v>
      </c>
      <c r="I7" s="275">
        <v>4</v>
      </c>
      <c r="J7" s="740">
        <v>12</v>
      </c>
    </row>
    <row r="8" spans="1:10" x14ac:dyDescent="0.25">
      <c r="A8" s="821"/>
      <c r="B8" s="822"/>
      <c r="C8" s="822"/>
      <c r="D8" s="823"/>
      <c r="E8" s="320" t="s">
        <v>898</v>
      </c>
      <c r="F8" s="267">
        <v>1</v>
      </c>
      <c r="G8" s="319">
        <v>5</v>
      </c>
      <c r="H8" s="298" t="s">
        <v>589</v>
      </c>
      <c r="I8" s="275">
        <v>6</v>
      </c>
      <c r="J8" s="278">
        <v>2</v>
      </c>
    </row>
    <row r="9" spans="1:10" x14ac:dyDescent="0.25">
      <c r="A9" s="821"/>
      <c r="B9" s="822"/>
      <c r="C9" s="822"/>
      <c r="D9" s="823"/>
      <c r="E9" s="318" t="s">
        <v>876</v>
      </c>
      <c r="F9" s="274">
        <v>9</v>
      </c>
      <c r="G9" s="319">
        <v>6</v>
      </c>
      <c r="H9" s="324" t="s">
        <v>859</v>
      </c>
      <c r="I9" s="275">
        <v>7</v>
      </c>
      <c r="J9" s="279">
        <v>5</v>
      </c>
    </row>
    <row r="10" spans="1:10" x14ac:dyDescent="0.25">
      <c r="A10" s="821"/>
      <c r="B10" s="822"/>
      <c r="C10" s="822"/>
      <c r="D10" s="823"/>
      <c r="E10" s="318" t="s">
        <v>868</v>
      </c>
      <c r="F10" s="307">
        <v>8.11</v>
      </c>
      <c r="G10" s="753" t="s">
        <v>956</v>
      </c>
      <c r="H10" s="298" t="s">
        <v>860</v>
      </c>
      <c r="I10" s="272">
        <v>9</v>
      </c>
      <c r="J10" s="255">
        <v>6.13</v>
      </c>
    </row>
    <row r="11" spans="1:10" x14ac:dyDescent="0.25">
      <c r="A11" s="821"/>
      <c r="B11" s="822"/>
      <c r="C11" s="822"/>
      <c r="D11" s="823"/>
      <c r="E11" s="321" t="s">
        <v>902</v>
      </c>
      <c r="F11" s="741">
        <v>5</v>
      </c>
      <c r="G11" s="319">
        <v>2</v>
      </c>
      <c r="H11" s="298" t="s">
        <v>866</v>
      </c>
      <c r="I11" s="275">
        <v>1</v>
      </c>
      <c r="J11" s="740">
        <v>3</v>
      </c>
    </row>
    <row r="12" spans="1:10" x14ac:dyDescent="0.25">
      <c r="A12" s="821"/>
      <c r="B12" s="822"/>
      <c r="C12" s="822"/>
      <c r="D12" s="823"/>
      <c r="E12" s="318" t="s">
        <v>616</v>
      </c>
      <c r="F12" s="307">
        <v>4.5999999999999996</v>
      </c>
      <c r="G12" s="319">
        <v>8</v>
      </c>
      <c r="H12" s="298" t="s">
        <v>870</v>
      </c>
      <c r="I12" s="283">
        <v>8</v>
      </c>
      <c r="J12" s="740">
        <v>4</v>
      </c>
    </row>
    <row r="13" spans="1:10" x14ac:dyDescent="0.25">
      <c r="A13" s="821"/>
      <c r="B13" s="822"/>
      <c r="C13" s="822"/>
      <c r="D13" s="823"/>
      <c r="E13" s="322" t="s">
        <v>617</v>
      </c>
      <c r="F13" s="248">
        <v>7</v>
      </c>
      <c r="G13" s="319">
        <v>7</v>
      </c>
      <c r="H13" s="298" t="s">
        <v>879</v>
      </c>
      <c r="I13" s="272">
        <v>5</v>
      </c>
      <c r="J13" s="278">
        <v>11</v>
      </c>
    </row>
    <row r="14" spans="1:10" x14ac:dyDescent="0.25">
      <c r="A14" s="821"/>
      <c r="B14" s="822"/>
      <c r="C14" s="822"/>
      <c r="D14" s="823"/>
      <c r="E14" s="322"/>
      <c r="F14" s="248"/>
      <c r="G14" s="319"/>
      <c r="H14" s="298" t="s">
        <v>881</v>
      </c>
      <c r="I14" s="275">
        <v>9</v>
      </c>
      <c r="J14" s="278">
        <v>13</v>
      </c>
    </row>
    <row r="15" spans="1:10" x14ac:dyDescent="0.25">
      <c r="A15" s="821"/>
      <c r="B15" s="822"/>
      <c r="C15" s="822"/>
      <c r="D15" s="823"/>
      <c r="E15" s="322"/>
      <c r="F15" s="307"/>
      <c r="G15" s="319"/>
      <c r="H15" s="298" t="s">
        <v>884</v>
      </c>
      <c r="I15" s="283">
        <v>2</v>
      </c>
      <c r="J15" s="247">
        <v>11</v>
      </c>
    </row>
    <row r="16" spans="1:10" x14ac:dyDescent="0.25">
      <c r="A16" s="821"/>
      <c r="B16" s="822"/>
      <c r="C16" s="822"/>
      <c r="D16" s="823"/>
      <c r="E16" s="321"/>
      <c r="F16" s="248"/>
      <c r="G16" s="319"/>
      <c r="H16" s="750" t="s">
        <v>907</v>
      </c>
      <c r="I16" s="272">
        <v>7</v>
      </c>
      <c r="J16" s="247">
        <v>5</v>
      </c>
    </row>
    <row r="17" spans="1:10" x14ac:dyDescent="0.25">
      <c r="A17" s="821"/>
      <c r="B17" s="822"/>
      <c r="C17" s="822"/>
      <c r="D17" s="823"/>
      <c r="E17" s="322"/>
      <c r="F17" s="248"/>
      <c r="G17" s="319"/>
      <c r="H17" s="298" t="s">
        <v>857</v>
      </c>
      <c r="I17" s="272">
        <v>1</v>
      </c>
      <c r="J17" s="278">
        <v>3</v>
      </c>
    </row>
    <row r="18" spans="1:10" x14ac:dyDescent="0.25">
      <c r="A18" s="821"/>
      <c r="B18" s="822"/>
      <c r="C18" s="822"/>
      <c r="D18" s="823"/>
      <c r="E18" s="322"/>
      <c r="F18" s="248"/>
      <c r="G18" s="319"/>
      <c r="H18" s="298" t="s">
        <v>910</v>
      </c>
      <c r="I18" s="272">
        <v>1</v>
      </c>
      <c r="J18" s="278">
        <v>3</v>
      </c>
    </row>
    <row r="19" spans="1:10" x14ac:dyDescent="0.25">
      <c r="A19" s="821"/>
      <c r="B19" s="822"/>
      <c r="C19" s="822"/>
      <c r="D19" s="823"/>
      <c r="E19" s="322"/>
      <c r="F19" s="248"/>
      <c r="G19" s="319"/>
      <c r="H19" s="298" t="s">
        <v>900</v>
      </c>
      <c r="I19" s="272">
        <v>5</v>
      </c>
      <c r="J19" s="278">
        <v>4.5</v>
      </c>
    </row>
    <row r="20" spans="1:10" ht="15.75" thickBot="1" x14ac:dyDescent="0.3">
      <c r="A20" s="821"/>
      <c r="B20" s="822"/>
      <c r="C20" s="822"/>
      <c r="D20" s="823"/>
      <c r="E20" s="322"/>
      <c r="F20" s="248"/>
      <c r="G20" s="319"/>
      <c r="H20" s="298" t="s">
        <v>872</v>
      </c>
      <c r="I20" s="739" t="s">
        <v>949</v>
      </c>
      <c r="J20" s="278">
        <v>5</v>
      </c>
    </row>
    <row r="21" spans="1:10" ht="16.5" thickTop="1" thickBot="1" x14ac:dyDescent="0.3">
      <c r="A21" s="328"/>
      <c r="B21" s="329" t="s">
        <v>506</v>
      </c>
      <c r="C21" s="330" t="s">
        <v>508</v>
      </c>
      <c r="D21" s="240"/>
      <c r="E21" s="812" t="s">
        <v>438</v>
      </c>
      <c r="F21" s="813"/>
      <c r="G21" s="814"/>
      <c r="H21" s="812" t="s">
        <v>478</v>
      </c>
      <c r="I21" s="813"/>
      <c r="J21" s="814"/>
    </row>
    <row r="22" spans="1:10" ht="15.75" thickTop="1" x14ac:dyDescent="0.25">
      <c r="A22" s="331" t="s">
        <v>883</v>
      </c>
      <c r="B22" s="749" t="s">
        <v>941</v>
      </c>
      <c r="C22" s="332">
        <v>2.5</v>
      </c>
      <c r="D22" s="824" t="s">
        <v>485</v>
      </c>
      <c r="E22" s="357" t="s">
        <v>917</v>
      </c>
      <c r="F22" s="825" t="s">
        <v>510</v>
      </c>
      <c r="G22" s="826"/>
      <c r="H22" s="748" t="s">
        <v>932</v>
      </c>
      <c r="I22" s="806" t="s">
        <v>511</v>
      </c>
      <c r="J22" s="807"/>
    </row>
    <row r="23" spans="1:10" x14ac:dyDescent="0.25">
      <c r="A23" s="298" t="s">
        <v>905</v>
      </c>
      <c r="B23" s="273">
        <v>10</v>
      </c>
      <c r="C23" s="275">
        <v>11</v>
      </c>
      <c r="D23" s="816"/>
      <c r="E23" s="357" t="s">
        <v>918</v>
      </c>
      <c r="F23" s="827" t="s">
        <v>512</v>
      </c>
      <c r="G23" s="803"/>
      <c r="H23" s="360" t="s">
        <v>944</v>
      </c>
      <c r="I23" s="810" t="s">
        <v>513</v>
      </c>
      <c r="J23" s="811"/>
    </row>
    <row r="24" spans="1:10" x14ac:dyDescent="0.25">
      <c r="A24" s="298" t="s">
        <v>895</v>
      </c>
      <c r="B24" s="343">
        <v>9</v>
      </c>
      <c r="C24" s="246">
        <v>12</v>
      </c>
      <c r="D24" s="816"/>
      <c r="E24" s="357" t="s">
        <v>919</v>
      </c>
      <c r="F24" s="827" t="s">
        <v>514</v>
      </c>
      <c r="G24" s="803"/>
      <c r="H24" s="360" t="s">
        <v>946</v>
      </c>
      <c r="I24" s="810" t="s">
        <v>515</v>
      </c>
      <c r="J24" s="811"/>
    </row>
    <row r="25" spans="1:10" x14ac:dyDescent="0.25">
      <c r="A25" s="298" t="s">
        <v>912</v>
      </c>
      <c r="B25" s="281">
        <v>9</v>
      </c>
      <c r="C25" s="275">
        <v>12</v>
      </c>
      <c r="D25" s="816"/>
      <c r="E25" s="357" t="s">
        <v>937</v>
      </c>
      <c r="F25" s="827" t="s">
        <v>516</v>
      </c>
      <c r="G25" s="803"/>
      <c r="H25" s="360" t="s">
        <v>947</v>
      </c>
      <c r="I25" s="810" t="s">
        <v>517</v>
      </c>
      <c r="J25" s="811"/>
    </row>
    <row r="26" spans="1:10" ht="30" x14ac:dyDescent="0.25">
      <c r="A26" s="298" t="s">
        <v>584</v>
      </c>
      <c r="B26" s="343">
        <v>7</v>
      </c>
      <c r="C26" s="254">
        <v>11</v>
      </c>
      <c r="D26" s="816"/>
      <c r="E26" s="359" t="s">
        <v>567</v>
      </c>
      <c r="F26" s="827" t="s">
        <v>518</v>
      </c>
      <c r="G26" s="803"/>
      <c r="H26" s="360" t="s">
        <v>937</v>
      </c>
      <c r="I26" s="810" t="s">
        <v>519</v>
      </c>
      <c r="J26" s="811"/>
    </row>
    <row r="27" spans="1:10" x14ac:dyDescent="0.25">
      <c r="A27" s="335" t="s">
        <v>856</v>
      </c>
      <c r="B27" s="281">
        <v>12</v>
      </c>
      <c r="C27" s="275">
        <v>13</v>
      </c>
      <c r="D27" s="816"/>
      <c r="E27" s="357" t="s">
        <v>938</v>
      </c>
      <c r="F27" s="827" t="s">
        <v>520</v>
      </c>
      <c r="G27" s="803"/>
      <c r="H27" s="360" t="s">
        <v>964</v>
      </c>
      <c r="I27" s="810" t="s">
        <v>521</v>
      </c>
      <c r="J27" s="811"/>
    </row>
    <row r="28" spans="1:10" ht="30" x14ac:dyDescent="0.25">
      <c r="A28" s="299" t="s">
        <v>587</v>
      </c>
      <c r="B28" s="308">
        <v>1.4</v>
      </c>
      <c r="C28" s="275">
        <v>6</v>
      </c>
      <c r="D28" s="816"/>
      <c r="E28" s="357" t="s">
        <v>921</v>
      </c>
      <c r="F28" s="827" t="s">
        <v>522</v>
      </c>
      <c r="G28" s="803"/>
      <c r="H28" s="360" t="s">
        <v>927</v>
      </c>
      <c r="I28" s="810" t="s">
        <v>535</v>
      </c>
      <c r="J28" s="811"/>
    </row>
    <row r="29" spans="1:10" x14ac:dyDescent="0.25">
      <c r="A29" s="298" t="s">
        <v>892</v>
      </c>
      <c r="B29" s="281">
        <v>1</v>
      </c>
      <c r="C29" s="283">
        <v>5</v>
      </c>
      <c r="D29" s="816"/>
      <c r="E29" s="357" t="s">
        <v>924</v>
      </c>
      <c r="F29" s="827" t="s">
        <v>536</v>
      </c>
      <c r="G29" s="803"/>
      <c r="H29" s="360" t="s">
        <v>926</v>
      </c>
      <c r="I29" s="810" t="s">
        <v>537</v>
      </c>
      <c r="J29" s="811"/>
    </row>
    <row r="30" spans="1:10" x14ac:dyDescent="0.25">
      <c r="A30" s="298" t="s">
        <v>573</v>
      </c>
      <c r="B30" s="745">
        <v>1.2</v>
      </c>
      <c r="C30" s="269">
        <v>6</v>
      </c>
      <c r="D30" s="816"/>
      <c r="E30" s="358" t="s">
        <v>940</v>
      </c>
      <c r="F30" s="827" t="s">
        <v>550</v>
      </c>
      <c r="G30" s="803"/>
      <c r="H30" s="360" t="s">
        <v>945</v>
      </c>
      <c r="I30" s="810" t="s">
        <v>620</v>
      </c>
      <c r="J30" s="811"/>
    </row>
    <row r="31" spans="1:10" x14ac:dyDescent="0.25">
      <c r="A31" s="298" t="s">
        <v>622</v>
      </c>
      <c r="B31" s="268">
        <v>9</v>
      </c>
      <c r="C31" s="269">
        <v>12</v>
      </c>
      <c r="D31" s="816"/>
      <c r="E31" s="358" t="s">
        <v>923</v>
      </c>
      <c r="F31" s="827" t="s">
        <v>576</v>
      </c>
      <c r="G31" s="803"/>
      <c r="H31" s="360" t="s">
        <v>943</v>
      </c>
      <c r="I31" s="810" t="s">
        <v>621</v>
      </c>
      <c r="J31" s="811"/>
    </row>
    <row r="32" spans="1:10" x14ac:dyDescent="0.25">
      <c r="A32" s="298"/>
      <c r="B32" s="268"/>
      <c r="C32" s="269"/>
      <c r="D32" s="816"/>
      <c r="E32" s="359" t="s">
        <v>939</v>
      </c>
      <c r="F32" s="827" t="s">
        <v>624</v>
      </c>
      <c r="G32" s="803"/>
      <c r="H32" s="360" t="s">
        <v>923</v>
      </c>
      <c r="I32" s="810" t="s">
        <v>948</v>
      </c>
      <c r="J32" s="811"/>
    </row>
    <row r="33" spans="1:10" x14ac:dyDescent="0.25">
      <c r="A33" s="298"/>
      <c r="B33" s="268"/>
      <c r="C33" s="269"/>
      <c r="D33" s="816"/>
      <c r="E33" s="359" t="s">
        <v>942</v>
      </c>
      <c r="F33" s="802" t="s">
        <v>625</v>
      </c>
      <c r="G33" s="803"/>
      <c r="H33" s="284" t="s">
        <v>940</v>
      </c>
      <c r="I33" s="810" t="s">
        <v>962</v>
      </c>
      <c r="J33" s="811"/>
    </row>
    <row r="34" spans="1:10" ht="15.75" thickBot="1" x14ac:dyDescent="0.3">
      <c r="A34" s="325"/>
      <c r="B34" s="333"/>
      <c r="C34" s="334"/>
      <c r="D34" s="817"/>
      <c r="E34" s="337"/>
      <c r="F34" s="804"/>
      <c r="G34" s="805"/>
      <c r="H34" s="301" t="s">
        <v>942</v>
      </c>
      <c r="I34" s="808" t="s">
        <v>963</v>
      </c>
      <c r="J34" s="809"/>
    </row>
    <row r="35" spans="1:10" ht="15.75" thickTop="1" x14ac:dyDescent="0.25">
      <c r="A35" s="737" t="s">
        <v>590</v>
      </c>
      <c r="B35" s="735" t="s">
        <v>925</v>
      </c>
      <c r="C35" s="302">
        <v>2.5</v>
      </c>
      <c r="D35" s="815" t="s">
        <v>479</v>
      </c>
      <c r="E35" s="736" t="s">
        <v>928</v>
      </c>
      <c r="F35" s="795" t="s">
        <v>523</v>
      </c>
      <c r="G35" s="796"/>
      <c r="H35" s="754" t="s">
        <v>920</v>
      </c>
      <c r="I35" s="789" t="s">
        <v>524</v>
      </c>
      <c r="J35" s="790"/>
    </row>
    <row r="36" spans="1:10" x14ac:dyDescent="0.25">
      <c r="A36" s="298" t="s">
        <v>863</v>
      </c>
      <c r="B36" s="742">
        <v>1.8</v>
      </c>
      <c r="C36" s="744" t="s">
        <v>957</v>
      </c>
      <c r="D36" s="816"/>
      <c r="E36" s="746" t="s">
        <v>567</v>
      </c>
      <c r="F36" s="799" t="s">
        <v>525</v>
      </c>
      <c r="G36" s="800"/>
      <c r="H36" s="353" t="s">
        <v>931</v>
      </c>
      <c r="I36" s="793" t="s">
        <v>526</v>
      </c>
      <c r="J36" s="794"/>
    </row>
    <row r="37" spans="1:10" x14ac:dyDescent="0.25">
      <c r="A37" s="298" t="s">
        <v>888</v>
      </c>
      <c r="B37" s="276">
        <v>2</v>
      </c>
      <c r="C37" s="277">
        <v>9</v>
      </c>
      <c r="D37" s="816"/>
      <c r="E37" s="746" t="s">
        <v>937</v>
      </c>
      <c r="F37" s="799" t="s">
        <v>527</v>
      </c>
      <c r="G37" s="800"/>
      <c r="H37" s="743" t="s">
        <v>934</v>
      </c>
      <c r="I37" s="793" t="s">
        <v>528</v>
      </c>
      <c r="J37" s="794"/>
    </row>
    <row r="38" spans="1:10" x14ac:dyDescent="0.25">
      <c r="A38" s="298"/>
      <c r="B38" s="276"/>
      <c r="C38" s="282"/>
      <c r="D38" s="816"/>
      <c r="E38" s="746" t="s">
        <v>950</v>
      </c>
      <c r="F38" s="799" t="s">
        <v>529</v>
      </c>
      <c r="G38" s="800"/>
      <c r="H38" s="743" t="s">
        <v>933</v>
      </c>
      <c r="I38" s="793" t="s">
        <v>530</v>
      </c>
      <c r="J38" s="794"/>
    </row>
    <row r="39" spans="1:10" x14ac:dyDescent="0.25">
      <c r="A39" s="298"/>
      <c r="B39" s="276"/>
      <c r="C39" s="277"/>
      <c r="D39" s="816"/>
      <c r="E39" s="747" t="s">
        <v>953</v>
      </c>
      <c r="F39" s="799" t="s">
        <v>531</v>
      </c>
      <c r="G39" s="800"/>
      <c r="H39" s="743" t="s">
        <v>927</v>
      </c>
      <c r="I39" s="793" t="s">
        <v>532</v>
      </c>
      <c r="J39" s="794"/>
    </row>
    <row r="40" spans="1:10" x14ac:dyDescent="0.25">
      <c r="A40" s="298"/>
      <c r="B40" s="271"/>
      <c r="C40" s="277"/>
      <c r="D40" s="816"/>
      <c r="E40" s="342" t="s">
        <v>924</v>
      </c>
      <c r="F40" s="799" t="s">
        <v>533</v>
      </c>
      <c r="G40" s="800"/>
      <c r="H40" s="743" t="s">
        <v>935</v>
      </c>
      <c r="I40" s="793" t="s">
        <v>534</v>
      </c>
      <c r="J40" s="794"/>
    </row>
    <row r="41" spans="1:10" x14ac:dyDescent="0.25">
      <c r="A41" s="298"/>
      <c r="B41" s="271"/>
      <c r="C41" s="277"/>
      <c r="D41" s="816"/>
      <c r="E41" s="746" t="s">
        <v>929</v>
      </c>
      <c r="F41" s="799" t="s">
        <v>538</v>
      </c>
      <c r="G41" s="800"/>
      <c r="H41" s="743" t="s">
        <v>936</v>
      </c>
      <c r="I41" s="793" t="s">
        <v>540</v>
      </c>
      <c r="J41" s="794"/>
    </row>
    <row r="42" spans="1:10" x14ac:dyDescent="0.25">
      <c r="A42" s="298"/>
      <c r="B42" s="249"/>
      <c r="C42" s="277"/>
      <c r="D42" s="816"/>
      <c r="E42" s="746" t="s">
        <v>930</v>
      </c>
      <c r="F42" s="799" t="s">
        <v>539</v>
      </c>
      <c r="G42" s="800"/>
      <c r="H42" s="743" t="s">
        <v>928</v>
      </c>
      <c r="I42" s="793" t="s">
        <v>551</v>
      </c>
      <c r="J42" s="794"/>
    </row>
    <row r="43" spans="1:10" x14ac:dyDescent="0.25">
      <c r="A43" s="298"/>
      <c r="B43" s="312"/>
      <c r="C43" s="277"/>
      <c r="D43" s="816"/>
      <c r="E43" s="746" t="s">
        <v>954</v>
      </c>
      <c r="F43" s="801" t="s">
        <v>951</v>
      </c>
      <c r="G43" s="800"/>
      <c r="H43" s="743" t="s">
        <v>567</v>
      </c>
      <c r="I43" s="793" t="s">
        <v>569</v>
      </c>
      <c r="J43" s="794"/>
    </row>
    <row r="44" spans="1:10" x14ac:dyDescent="0.25">
      <c r="A44" s="298"/>
      <c r="B44" s="250"/>
      <c r="C44" s="313"/>
      <c r="D44" s="816"/>
      <c r="E44" s="336" t="s">
        <v>939</v>
      </c>
      <c r="F44" s="801" t="s">
        <v>955</v>
      </c>
      <c r="G44" s="800"/>
      <c r="H44" s="743" t="s">
        <v>958</v>
      </c>
      <c r="I44" s="793" t="s">
        <v>607</v>
      </c>
      <c r="J44" s="794"/>
    </row>
    <row r="45" spans="1:10" x14ac:dyDescent="0.25">
      <c r="A45" s="298"/>
      <c r="B45" s="250"/>
      <c r="C45" s="313"/>
      <c r="D45" s="816"/>
      <c r="E45" s="336"/>
      <c r="F45" s="801"/>
      <c r="G45" s="800"/>
      <c r="H45" s="743" t="s">
        <v>937</v>
      </c>
      <c r="I45" s="793" t="s">
        <v>959</v>
      </c>
      <c r="J45" s="794"/>
    </row>
    <row r="46" spans="1:10" x14ac:dyDescent="0.25">
      <c r="A46" s="300"/>
      <c r="B46" s="250"/>
      <c r="C46" s="313"/>
      <c r="D46" s="816"/>
      <c r="E46" s="309"/>
      <c r="F46" s="799"/>
      <c r="G46" s="800"/>
      <c r="H46" s="310" t="s">
        <v>947</v>
      </c>
      <c r="I46" s="793" t="s">
        <v>960</v>
      </c>
      <c r="J46" s="794"/>
    </row>
    <row r="47" spans="1:10" ht="15.75" thickBot="1" x14ac:dyDescent="0.3">
      <c r="A47" s="311"/>
      <c r="B47" s="304"/>
      <c r="C47" s="289"/>
      <c r="D47" s="817"/>
      <c r="E47" s="305"/>
      <c r="F47" s="797"/>
      <c r="G47" s="798"/>
      <c r="H47" s="306" t="s">
        <v>945</v>
      </c>
      <c r="I47" s="791" t="s">
        <v>961</v>
      </c>
      <c r="J47" s="792"/>
    </row>
    <row r="48" spans="1:10" ht="15.75" thickTop="1" x14ac:dyDescent="0.25">
      <c r="A48" s="237"/>
      <c r="B48" s="285" t="s">
        <v>507</v>
      </c>
      <c r="C48" s="286" t="s">
        <v>509</v>
      </c>
    </row>
    <row r="49" spans="1:11" x14ac:dyDescent="0.25">
      <c r="A49" s="237"/>
      <c r="H49" s="303"/>
      <c r="J49" s="251"/>
      <c r="K49" s="252"/>
    </row>
    <row r="50" spans="1:11" x14ac:dyDescent="0.25">
      <c r="J50" s="252"/>
      <c r="K50" s="252"/>
    </row>
    <row r="51" spans="1:11" ht="45" x14ac:dyDescent="0.25">
      <c r="A51" s="924" t="s">
        <v>965</v>
      </c>
      <c r="J51" s="252"/>
      <c r="K51" s="252"/>
    </row>
    <row r="52" spans="1:11" x14ac:dyDescent="0.25">
      <c r="J52" s="252"/>
      <c r="K52" s="252"/>
    </row>
    <row r="53" spans="1:11" x14ac:dyDescent="0.25">
      <c r="J53" s="252"/>
      <c r="K53" s="252"/>
    </row>
    <row r="54" spans="1:11" x14ac:dyDescent="0.25">
      <c r="J54" s="251"/>
    </row>
    <row r="60" spans="1:11" x14ac:dyDescent="0.25">
      <c r="E60" s="352"/>
    </row>
  </sheetData>
  <mergeCells count="57">
    <mergeCell ref="E21:G21"/>
    <mergeCell ref="H21:J21"/>
    <mergeCell ref="D35:D47"/>
    <mergeCell ref="A3:D20"/>
    <mergeCell ref="D22:D34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I22:J22"/>
    <mergeCell ref="I34:J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F35:G35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I35:J35"/>
    <mergeCell ref="I47:J47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</mergeCells>
  <phoneticPr fontId="53" type="noConversion"/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EE5C-4092-4DB3-8207-7D31EFB9FDE7}">
  <dimension ref="A1:D16"/>
  <sheetViews>
    <sheetView zoomScale="70" zoomScaleNormal="70" workbookViewId="0">
      <selection activeCell="H21" sqref="H21"/>
    </sheetView>
  </sheetViews>
  <sheetFormatPr defaultRowHeight="15" x14ac:dyDescent="0.25"/>
  <cols>
    <col min="1" max="1" width="13.7109375" bestFit="1" customWidth="1"/>
    <col min="2" max="2" width="14" bestFit="1" customWidth="1"/>
    <col min="3" max="3" width="12.7109375" bestFit="1" customWidth="1"/>
    <col min="4" max="4" width="12" bestFit="1" customWidth="1"/>
  </cols>
  <sheetData>
    <row r="1" spans="1:4" x14ac:dyDescent="0.25">
      <c r="A1" t="s">
        <v>480</v>
      </c>
      <c r="B1" t="s">
        <v>481</v>
      </c>
    </row>
    <row r="2" spans="1:4" x14ac:dyDescent="0.25">
      <c r="A2" t="s">
        <v>438</v>
      </c>
      <c r="B2" t="s">
        <v>478</v>
      </c>
    </row>
    <row r="3" spans="1:4" x14ac:dyDescent="0.25">
      <c r="A3" s="338">
        <v>3.748947368421053</v>
      </c>
      <c r="B3" s="338">
        <v>-3.1999999999999997</v>
      </c>
      <c r="D3" s="326"/>
    </row>
    <row r="4" spans="1:4" x14ac:dyDescent="0.25">
      <c r="A4" s="338" t="s">
        <v>485</v>
      </c>
      <c r="B4" s="338" t="s">
        <v>479</v>
      </c>
      <c r="C4" s="326"/>
      <c r="D4" s="326"/>
    </row>
    <row r="5" spans="1:4" x14ac:dyDescent="0.25">
      <c r="A5" s="338">
        <v>3.7000000000000006</v>
      </c>
      <c r="B5" s="338">
        <v>-3.2733333333333339</v>
      </c>
      <c r="D5" s="326"/>
    </row>
    <row r="6" spans="1:4" x14ac:dyDescent="0.25">
      <c r="B6" s="326"/>
      <c r="C6" s="326"/>
    </row>
    <row r="8" spans="1:4" x14ac:dyDescent="0.25">
      <c r="A8" t="s">
        <v>597</v>
      </c>
      <c r="B8" t="s">
        <v>595</v>
      </c>
      <c r="C8" t="s">
        <v>596</v>
      </c>
    </row>
    <row r="9" spans="1:4" x14ac:dyDescent="0.25">
      <c r="A9" t="s">
        <v>591</v>
      </c>
      <c r="B9" s="326">
        <v>3.748947368421053</v>
      </c>
      <c r="C9" s="326">
        <v>3.7</v>
      </c>
    </row>
    <row r="10" spans="1:4" x14ac:dyDescent="0.25">
      <c r="A10" t="s">
        <v>592</v>
      </c>
      <c r="B10" s="326">
        <v>3.748947368421053</v>
      </c>
      <c r="C10" s="326">
        <v>-3.2733333333333339</v>
      </c>
    </row>
    <row r="11" spans="1:4" x14ac:dyDescent="0.25">
      <c r="A11" t="s">
        <v>593</v>
      </c>
      <c r="B11" s="326">
        <v>-3.2</v>
      </c>
      <c r="C11" s="326">
        <v>-3.27</v>
      </c>
    </row>
    <row r="12" spans="1:4" x14ac:dyDescent="0.25">
      <c r="A12" t="s">
        <v>594</v>
      </c>
      <c r="B12" s="326">
        <v>-3.2</v>
      </c>
      <c r="C12" s="326">
        <v>3.7</v>
      </c>
    </row>
    <row r="14" spans="1:4" x14ac:dyDescent="0.25">
      <c r="A14" t="s">
        <v>608</v>
      </c>
      <c r="B14" t="s">
        <v>595</v>
      </c>
      <c r="C14" t="s">
        <v>596</v>
      </c>
    </row>
    <row r="15" spans="1:4" x14ac:dyDescent="0.25">
      <c r="A15" t="s">
        <v>609</v>
      </c>
      <c r="B15" s="326">
        <v>0.55000000000000004</v>
      </c>
      <c r="C15" s="326">
        <v>0.43</v>
      </c>
    </row>
    <row r="16" spans="1:4" x14ac:dyDescent="0.25">
      <c r="B16" s="326"/>
      <c r="C16" s="32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1ACE-CFEE-428E-A52C-F7A31B94F4A8}">
  <dimension ref="C3:E5"/>
  <sheetViews>
    <sheetView topLeftCell="A12" workbookViewId="0">
      <selection activeCell="F3" sqref="F3"/>
    </sheetView>
  </sheetViews>
  <sheetFormatPr defaultColWidth="16.7109375" defaultRowHeight="80.099999999999994" customHeight="1" x14ac:dyDescent="0.25"/>
  <sheetData>
    <row r="3" spans="3:5" ht="80.099999999999994" customHeight="1" x14ac:dyDescent="0.25">
      <c r="C3" s="327" t="s">
        <v>598</v>
      </c>
      <c r="D3" s="327" t="s">
        <v>599</v>
      </c>
      <c r="E3" s="327" t="s">
        <v>600</v>
      </c>
    </row>
    <row r="4" spans="3:5" ht="80.099999999999994" customHeight="1" x14ac:dyDescent="0.25">
      <c r="C4" s="327" t="s">
        <v>601</v>
      </c>
      <c r="D4" s="327" t="s">
        <v>602</v>
      </c>
      <c r="E4" s="327" t="s">
        <v>603</v>
      </c>
    </row>
    <row r="5" spans="3:5" ht="80.099999999999994" customHeight="1" x14ac:dyDescent="0.25">
      <c r="C5" s="327" t="s">
        <v>604</v>
      </c>
      <c r="D5" s="327" t="s">
        <v>605</v>
      </c>
      <c r="E5" s="327" t="s">
        <v>606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I8" sqref="I8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5" t="s">
        <v>443</v>
      </c>
    </row>
    <row r="2" spans="1:10" x14ac:dyDescent="0.25">
      <c r="A2" s="196" t="s">
        <v>444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x14ac:dyDescent="0.25">
      <c r="A3" s="198" t="s">
        <v>445</v>
      </c>
      <c r="B3" s="198" t="s">
        <v>446</v>
      </c>
      <c r="C3" s="198" t="s">
        <v>447</v>
      </c>
      <c r="D3" s="197"/>
      <c r="E3" s="197"/>
      <c r="F3" s="197"/>
      <c r="G3" s="197"/>
      <c r="H3" s="197"/>
    </row>
    <row r="4" spans="1:10" x14ac:dyDescent="0.25">
      <c r="A4" s="199">
        <v>1</v>
      </c>
      <c r="B4" s="200" t="s">
        <v>448</v>
      </c>
      <c r="C4" s="200" t="s">
        <v>449</v>
      </c>
    </row>
    <row r="5" spans="1:10" x14ac:dyDescent="0.25">
      <c r="A5" s="199">
        <v>2</v>
      </c>
      <c r="B5" s="200" t="s">
        <v>450</v>
      </c>
      <c r="C5" s="200" t="s">
        <v>451</v>
      </c>
    </row>
    <row r="6" spans="1:10" x14ac:dyDescent="0.25">
      <c r="A6" s="199">
        <v>3</v>
      </c>
      <c r="B6" s="200" t="s">
        <v>452</v>
      </c>
      <c r="C6" s="200" t="s">
        <v>453</v>
      </c>
    </row>
    <row r="7" spans="1:10" x14ac:dyDescent="0.25">
      <c r="A7" s="199">
        <v>4</v>
      </c>
      <c r="B7" s="200" t="s">
        <v>454</v>
      </c>
      <c r="C7" s="200" t="s">
        <v>455</v>
      </c>
    </row>
    <row r="8" spans="1:10" x14ac:dyDescent="0.25">
      <c r="A8" s="163"/>
    </row>
    <row r="9" spans="1:10" x14ac:dyDescent="0.25">
      <c r="A9" s="201" t="s">
        <v>456</v>
      </c>
    </row>
    <row r="10" spans="1:10" x14ac:dyDescent="0.25">
      <c r="A10" s="828" t="s">
        <v>457</v>
      </c>
      <c r="B10" s="828"/>
      <c r="C10" s="828"/>
      <c r="D10" s="828"/>
      <c r="E10" s="828"/>
      <c r="F10" s="828"/>
      <c r="G10" s="828"/>
      <c r="H10" s="828"/>
      <c r="I10" s="828"/>
      <c r="J10" s="828"/>
    </row>
    <row r="11" spans="1:10" x14ac:dyDescent="0.25">
      <c r="A11" s="163"/>
    </row>
    <row r="12" spans="1:10" x14ac:dyDescent="0.25">
      <c r="A12" s="201" t="s">
        <v>458</v>
      </c>
    </row>
    <row r="13" spans="1:10" x14ac:dyDescent="0.25">
      <c r="A13" t="s">
        <v>459</v>
      </c>
    </row>
    <row r="14" spans="1:10" x14ac:dyDescent="0.25">
      <c r="A14" s="198" t="s">
        <v>445</v>
      </c>
      <c r="B14" s="198" t="s">
        <v>446</v>
      </c>
      <c r="C14" s="198" t="s">
        <v>447</v>
      </c>
    </row>
    <row r="15" spans="1:10" x14ac:dyDescent="0.25">
      <c r="A15" s="200" t="s">
        <v>460</v>
      </c>
      <c r="B15" s="200" t="s">
        <v>461</v>
      </c>
      <c r="C15" s="200" t="s">
        <v>462</v>
      </c>
    </row>
    <row r="16" spans="1:10" x14ac:dyDescent="0.25">
      <c r="A16" s="200" t="s">
        <v>463</v>
      </c>
      <c r="B16" s="200" t="s">
        <v>464</v>
      </c>
      <c r="C16" s="200" t="s">
        <v>465</v>
      </c>
    </row>
    <row r="17" spans="1:3" x14ac:dyDescent="0.25">
      <c r="A17" s="200" t="s">
        <v>466</v>
      </c>
      <c r="B17" s="200" t="s">
        <v>467</v>
      </c>
      <c r="C17" s="200" t="s">
        <v>468</v>
      </c>
    </row>
    <row r="18" spans="1:3" x14ac:dyDescent="0.25">
      <c r="A18" s="200" t="s">
        <v>469</v>
      </c>
      <c r="B18" s="200" t="s">
        <v>470</v>
      </c>
      <c r="C18" s="200" t="s">
        <v>471</v>
      </c>
    </row>
    <row r="19" spans="1:3" x14ac:dyDescent="0.25">
      <c r="A19" s="203"/>
      <c r="B19" s="204"/>
      <c r="C19" s="204" t="s">
        <v>472</v>
      </c>
    </row>
    <row r="20" spans="1:3" x14ac:dyDescent="0.25">
      <c r="A20" s="201" t="s">
        <v>473</v>
      </c>
    </row>
    <row r="21" spans="1:3" x14ac:dyDescent="0.25">
      <c r="A21" s="202" t="s">
        <v>474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EE5D-D5AE-44B2-958F-741085FA1E11}">
  <dimension ref="A1:J37"/>
  <sheetViews>
    <sheetView workbookViewId="0">
      <selection activeCell="D34" sqref="D34"/>
    </sheetView>
  </sheetViews>
  <sheetFormatPr defaultRowHeight="15" x14ac:dyDescent="0.25"/>
  <cols>
    <col min="1" max="1" width="6.28515625" style="179" customWidth="1"/>
    <col min="2" max="2" width="9.28515625" style="755" customWidth="1"/>
    <col min="3" max="3" width="52.5703125" style="929" customWidth="1"/>
    <col min="4" max="4" width="66.28515625" style="179" bestFit="1" customWidth="1"/>
    <col min="5" max="5" width="21.42578125" style="927" customWidth="1"/>
    <col min="6" max="6" width="26.140625" style="927" hidden="1" customWidth="1"/>
    <col min="7" max="7" width="33" style="179" customWidth="1"/>
    <col min="8" max="8" width="16" style="179" customWidth="1"/>
    <col min="9" max="9" width="19.28515625" style="179" customWidth="1"/>
    <col min="10" max="10" width="15.42578125" style="179" bestFit="1" customWidth="1"/>
    <col min="11" max="16384" width="9.140625" style="179"/>
  </cols>
  <sheetData>
    <row r="1" spans="1:10" s="755" customFormat="1" x14ac:dyDescent="0.25">
      <c r="A1" s="925" t="s">
        <v>201</v>
      </c>
      <c r="B1" s="925" t="s">
        <v>477</v>
      </c>
      <c r="C1" s="928" t="s">
        <v>970</v>
      </c>
      <c r="D1" s="925" t="s">
        <v>969</v>
      </c>
      <c r="E1" s="926" t="s">
        <v>632</v>
      </c>
      <c r="F1" s="926" t="s">
        <v>971</v>
      </c>
      <c r="G1" s="925" t="s">
        <v>966</v>
      </c>
      <c r="H1" s="925" t="s">
        <v>639</v>
      </c>
      <c r="I1" s="925" t="s">
        <v>967</v>
      </c>
      <c r="J1" s="925" t="s">
        <v>968</v>
      </c>
    </row>
    <row r="2" spans="1:10" ht="30" x14ac:dyDescent="0.25">
      <c r="A2" s="755">
        <v>1</v>
      </c>
      <c r="B2" s="755" t="s">
        <v>506</v>
      </c>
      <c r="C2" s="929" t="s">
        <v>923</v>
      </c>
      <c r="D2" s="927" t="s">
        <v>985</v>
      </c>
      <c r="E2" s="927" t="s">
        <v>542</v>
      </c>
      <c r="F2" s="927" t="s">
        <v>975</v>
      </c>
    </row>
    <row r="3" spans="1:10" ht="30" x14ac:dyDescent="0.25">
      <c r="A3" s="755"/>
      <c r="D3" s="927" t="s">
        <v>984</v>
      </c>
      <c r="E3" s="927" t="s">
        <v>542</v>
      </c>
      <c r="F3" s="927" t="s">
        <v>975</v>
      </c>
    </row>
    <row r="4" spans="1:10" x14ac:dyDescent="0.25">
      <c r="A4" s="755">
        <v>2</v>
      </c>
      <c r="B4" s="755" t="s">
        <v>506</v>
      </c>
      <c r="C4" s="930" t="s">
        <v>918</v>
      </c>
      <c r="D4" s="927" t="s">
        <v>987</v>
      </c>
      <c r="E4" s="927" t="s">
        <v>776</v>
      </c>
      <c r="F4" s="927" t="s">
        <v>976</v>
      </c>
      <c r="G4" s="179" t="s">
        <v>980</v>
      </c>
    </row>
    <row r="5" spans="1:10" x14ac:dyDescent="0.25">
      <c r="A5" s="755"/>
      <c r="C5" s="930"/>
      <c r="D5" s="927" t="s">
        <v>986</v>
      </c>
    </row>
    <row r="6" spans="1:10" x14ac:dyDescent="0.25">
      <c r="A6" s="755">
        <v>3</v>
      </c>
      <c r="B6" s="755" t="s">
        <v>506</v>
      </c>
      <c r="C6" s="930" t="s">
        <v>919</v>
      </c>
      <c r="D6" s="179" t="s">
        <v>981</v>
      </c>
      <c r="E6" s="927" t="s">
        <v>776</v>
      </c>
      <c r="F6" s="927" t="s">
        <v>976</v>
      </c>
      <c r="G6" s="179" t="s">
        <v>980</v>
      </c>
    </row>
    <row r="7" spans="1:10" x14ac:dyDescent="0.25">
      <c r="A7" s="755">
        <v>4</v>
      </c>
      <c r="B7" s="755" t="s">
        <v>506</v>
      </c>
      <c r="C7" s="930" t="s">
        <v>937</v>
      </c>
      <c r="D7" s="927" t="s">
        <v>990</v>
      </c>
      <c r="E7" s="927" t="s">
        <v>776</v>
      </c>
      <c r="F7" s="927" t="s">
        <v>972</v>
      </c>
      <c r="G7" s="179" t="s">
        <v>655</v>
      </c>
    </row>
    <row r="8" spans="1:10" x14ac:dyDescent="0.25">
      <c r="A8" s="755"/>
      <c r="C8" s="930"/>
      <c r="D8" s="927" t="s">
        <v>988</v>
      </c>
    </row>
    <row r="9" spans="1:10" x14ac:dyDescent="0.25">
      <c r="A9" s="755"/>
      <c r="C9" s="930"/>
      <c r="D9" s="927" t="s">
        <v>989</v>
      </c>
    </row>
    <row r="10" spans="1:10" x14ac:dyDescent="0.25">
      <c r="A10" s="755">
        <v>5</v>
      </c>
      <c r="B10" s="755" t="s">
        <v>506</v>
      </c>
      <c r="C10" s="929" t="s">
        <v>921</v>
      </c>
      <c r="D10" s="179" t="s">
        <v>983</v>
      </c>
      <c r="E10" s="927" t="s">
        <v>776</v>
      </c>
      <c r="F10" s="927" t="s">
        <v>976</v>
      </c>
      <c r="G10" s="179" t="s">
        <v>788</v>
      </c>
    </row>
    <row r="11" spans="1:10" x14ac:dyDescent="0.25">
      <c r="A11" s="755"/>
      <c r="D11" s="179" t="s">
        <v>991</v>
      </c>
    </row>
    <row r="12" spans="1:10" x14ac:dyDescent="0.25">
      <c r="A12" s="755"/>
      <c r="D12" s="179" t="s">
        <v>992</v>
      </c>
    </row>
    <row r="13" spans="1:10" ht="30" x14ac:dyDescent="0.25">
      <c r="A13" s="755">
        <v>6</v>
      </c>
      <c r="B13" s="755" t="s">
        <v>508</v>
      </c>
      <c r="C13" s="929" t="s">
        <v>958</v>
      </c>
      <c r="D13" s="927" t="s">
        <v>982</v>
      </c>
      <c r="E13" s="927" t="s">
        <v>776</v>
      </c>
      <c r="F13" s="927" t="s">
        <v>972</v>
      </c>
    </row>
    <row r="14" spans="1:10" ht="30" x14ac:dyDescent="0.25">
      <c r="A14" s="755">
        <v>7</v>
      </c>
      <c r="B14" s="755" t="s">
        <v>506</v>
      </c>
      <c r="C14" s="929" t="s">
        <v>930</v>
      </c>
      <c r="D14" s="927" t="s">
        <v>996</v>
      </c>
      <c r="E14" s="927" t="s">
        <v>667</v>
      </c>
      <c r="F14" s="927" t="s">
        <v>977</v>
      </c>
    </row>
    <row r="15" spans="1:10" x14ac:dyDescent="0.25">
      <c r="A15" s="755"/>
      <c r="D15" s="927" t="s">
        <v>993</v>
      </c>
    </row>
    <row r="16" spans="1:10" x14ac:dyDescent="0.25">
      <c r="A16" s="755"/>
      <c r="D16" s="927" t="s">
        <v>994</v>
      </c>
    </row>
    <row r="17" spans="1:6" x14ac:dyDescent="0.25">
      <c r="A17" s="755"/>
      <c r="D17" s="927" t="s">
        <v>995</v>
      </c>
    </row>
    <row r="18" spans="1:6" ht="60" x14ac:dyDescent="0.25">
      <c r="A18" s="755">
        <v>8</v>
      </c>
      <c r="B18" s="755" t="s">
        <v>506</v>
      </c>
      <c r="C18" s="929" t="s">
        <v>924</v>
      </c>
      <c r="D18" s="927" t="s">
        <v>997</v>
      </c>
      <c r="E18" s="927" t="s">
        <v>667</v>
      </c>
      <c r="F18" s="927" t="s">
        <v>974</v>
      </c>
    </row>
    <row r="19" spans="1:6" ht="30" x14ac:dyDescent="0.25">
      <c r="A19" s="755">
        <v>9</v>
      </c>
      <c r="B19" s="755" t="s">
        <v>506</v>
      </c>
      <c r="C19" s="929" t="s">
        <v>940</v>
      </c>
      <c r="D19" s="927" t="s">
        <v>998</v>
      </c>
      <c r="E19" s="927" t="s">
        <v>667</v>
      </c>
      <c r="F19" s="927" t="s">
        <v>978</v>
      </c>
    </row>
    <row r="20" spans="1:6" ht="60" customHeight="1" x14ac:dyDescent="0.25">
      <c r="A20" s="755">
        <v>10</v>
      </c>
      <c r="B20" s="755" t="s">
        <v>506</v>
      </c>
      <c r="C20" s="929" t="s">
        <v>942</v>
      </c>
      <c r="D20" s="931" t="s">
        <v>999</v>
      </c>
      <c r="E20" s="927" t="s">
        <v>667</v>
      </c>
      <c r="F20" s="927" t="s">
        <v>979</v>
      </c>
    </row>
    <row r="21" spans="1:6" ht="30" x14ac:dyDescent="0.25">
      <c r="A21" s="755">
        <v>18</v>
      </c>
      <c r="B21" s="755" t="s">
        <v>507</v>
      </c>
      <c r="C21" s="929" t="s">
        <v>953</v>
      </c>
      <c r="D21" s="931"/>
      <c r="E21" s="927" t="s">
        <v>667</v>
      </c>
    </row>
    <row r="22" spans="1:6" ht="30" x14ac:dyDescent="0.25">
      <c r="A22" s="755">
        <v>11</v>
      </c>
      <c r="B22" s="755" t="s">
        <v>508</v>
      </c>
      <c r="C22" s="929" t="s">
        <v>964</v>
      </c>
      <c r="D22" s="179" t="s">
        <v>1000</v>
      </c>
      <c r="E22" s="927" t="s">
        <v>667</v>
      </c>
    </row>
    <row r="23" spans="1:6" x14ac:dyDescent="0.25">
      <c r="A23" s="755">
        <v>12</v>
      </c>
      <c r="B23" s="755" t="s">
        <v>508</v>
      </c>
      <c r="C23" s="929" t="s">
        <v>927</v>
      </c>
      <c r="D23" s="179" t="s">
        <v>1000</v>
      </c>
      <c r="E23" s="927" t="s">
        <v>667</v>
      </c>
    </row>
    <row r="24" spans="1:6" x14ac:dyDescent="0.25">
      <c r="A24" s="755">
        <v>13</v>
      </c>
      <c r="B24" s="755" t="s">
        <v>508</v>
      </c>
      <c r="C24" s="929" t="s">
        <v>926</v>
      </c>
      <c r="D24" s="179" t="s">
        <v>1001</v>
      </c>
      <c r="E24" s="927" t="s">
        <v>667</v>
      </c>
    </row>
    <row r="25" spans="1:6" ht="45" x14ac:dyDescent="0.25">
      <c r="A25" s="755">
        <v>14</v>
      </c>
      <c r="B25" s="755" t="s">
        <v>508</v>
      </c>
      <c r="C25" s="929" t="s">
        <v>945</v>
      </c>
      <c r="D25" s="927" t="s">
        <v>1002</v>
      </c>
      <c r="E25" s="927" t="s">
        <v>667</v>
      </c>
    </row>
    <row r="26" spans="1:6" ht="30" x14ac:dyDescent="0.25">
      <c r="A26" s="755">
        <v>15</v>
      </c>
      <c r="B26" s="755" t="s">
        <v>508</v>
      </c>
      <c r="C26" s="929" t="s">
        <v>943</v>
      </c>
      <c r="D26" s="927" t="s">
        <v>1003</v>
      </c>
      <c r="E26" s="927" t="s">
        <v>667</v>
      </c>
    </row>
    <row r="27" spans="1:6" x14ac:dyDescent="0.25">
      <c r="A27" s="755">
        <v>16</v>
      </c>
      <c r="B27" s="755" t="s">
        <v>507</v>
      </c>
      <c r="C27" s="929" t="s">
        <v>928</v>
      </c>
      <c r="E27" s="927" t="s">
        <v>667</v>
      </c>
    </row>
    <row r="28" spans="1:6" x14ac:dyDescent="0.25">
      <c r="A28" s="755">
        <v>17</v>
      </c>
      <c r="B28" s="755" t="s">
        <v>507</v>
      </c>
      <c r="C28" s="929" t="s">
        <v>950</v>
      </c>
      <c r="E28" s="927" t="s">
        <v>667</v>
      </c>
    </row>
    <row r="29" spans="1:6" x14ac:dyDescent="0.25">
      <c r="A29" s="755">
        <v>21</v>
      </c>
      <c r="B29" s="755" t="s">
        <v>509</v>
      </c>
      <c r="C29" s="929" t="s">
        <v>920</v>
      </c>
      <c r="E29" s="927" t="s">
        <v>667</v>
      </c>
    </row>
    <row r="30" spans="1:6" ht="30" x14ac:dyDescent="0.25">
      <c r="A30" s="755">
        <v>22</v>
      </c>
      <c r="B30" s="755" t="s">
        <v>509</v>
      </c>
      <c r="C30" s="929" t="s">
        <v>931</v>
      </c>
      <c r="E30" s="927" t="s">
        <v>667</v>
      </c>
    </row>
    <row r="31" spans="1:6" ht="30" x14ac:dyDescent="0.25">
      <c r="A31" s="755">
        <v>24</v>
      </c>
      <c r="B31" s="755" t="s">
        <v>506</v>
      </c>
      <c r="C31" s="929" t="s">
        <v>917</v>
      </c>
      <c r="D31" s="179" t="s">
        <v>1004</v>
      </c>
      <c r="E31" s="927" t="s">
        <v>676</v>
      </c>
      <c r="F31" s="927" t="s">
        <v>973</v>
      </c>
    </row>
    <row r="32" spans="1:6" ht="45" x14ac:dyDescent="0.25">
      <c r="A32" s="755">
        <v>25</v>
      </c>
      <c r="B32" s="755" t="s">
        <v>506</v>
      </c>
      <c r="C32" s="929" t="s">
        <v>567</v>
      </c>
      <c r="D32" s="927" t="s">
        <v>1005</v>
      </c>
      <c r="E32" s="927" t="s">
        <v>676</v>
      </c>
      <c r="F32" s="927" t="s">
        <v>973</v>
      </c>
    </row>
    <row r="33" spans="1:6" x14ac:dyDescent="0.25">
      <c r="A33" s="755">
        <v>26</v>
      </c>
      <c r="B33" s="755" t="s">
        <v>506</v>
      </c>
      <c r="C33" s="929" t="s">
        <v>939</v>
      </c>
      <c r="D33" s="179" t="s">
        <v>996</v>
      </c>
      <c r="E33" s="927" t="s">
        <v>676</v>
      </c>
      <c r="F33" s="927" t="s">
        <v>975</v>
      </c>
    </row>
    <row r="34" spans="1:6" x14ac:dyDescent="0.25">
      <c r="A34" s="755">
        <v>27</v>
      </c>
      <c r="B34" s="755" t="s">
        <v>508</v>
      </c>
      <c r="C34" s="929" t="s">
        <v>932</v>
      </c>
      <c r="D34" s="179" t="s">
        <v>1000</v>
      </c>
      <c r="E34" s="927" t="s">
        <v>676</v>
      </c>
      <c r="F34" s="927" t="s">
        <v>973</v>
      </c>
    </row>
    <row r="35" spans="1:6" x14ac:dyDescent="0.25">
      <c r="A35" s="755">
        <v>28</v>
      </c>
      <c r="B35" s="755" t="s">
        <v>507</v>
      </c>
      <c r="C35" s="929" t="s">
        <v>954</v>
      </c>
      <c r="E35" s="927" t="s">
        <v>676</v>
      </c>
    </row>
    <row r="36" spans="1:6" ht="30" x14ac:dyDescent="0.25">
      <c r="A36" s="755">
        <v>29</v>
      </c>
      <c r="B36" s="755" t="s">
        <v>509</v>
      </c>
      <c r="C36" s="929" t="s">
        <v>934</v>
      </c>
      <c r="E36" s="927" t="s">
        <v>676</v>
      </c>
    </row>
    <row r="37" spans="1:6" ht="30" x14ac:dyDescent="0.25">
      <c r="A37" s="755">
        <v>30</v>
      </c>
      <c r="B37" s="755" t="s">
        <v>509</v>
      </c>
      <c r="C37" s="929" t="s">
        <v>936</v>
      </c>
      <c r="E37" s="927" t="s">
        <v>676</v>
      </c>
    </row>
  </sheetData>
  <autoFilter ref="A1:J37" xr:uid="{02FCEE5D-D5AE-44B2-958F-741085FA1E11}"/>
  <mergeCells count="1">
    <mergeCell ref="D20:D21"/>
  </mergeCells>
  <conditionalFormatting sqref="F1:F1048576 C1:C1048576">
    <cfRule type="duplicateValues" dxfId="136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82F9-C58F-4CDC-9BE2-09052B6E5007}">
  <sheetPr>
    <pageSetUpPr fitToPage="1"/>
  </sheetPr>
  <dimension ref="A1:X78"/>
  <sheetViews>
    <sheetView showGridLines="0" topLeftCell="A31" zoomScale="70" zoomScaleNormal="70" zoomScaleSheetLayoutView="85" workbookViewId="0">
      <selection activeCell="E9" sqref="E9"/>
    </sheetView>
  </sheetViews>
  <sheetFormatPr defaultColWidth="7.85546875" defaultRowHeight="15.75" x14ac:dyDescent="0.25"/>
  <cols>
    <col min="1" max="1" width="1.7109375" style="414" customWidth="1"/>
    <col min="2" max="2" width="31.140625" style="417" customWidth="1"/>
    <col min="3" max="3" width="37" style="414" customWidth="1"/>
    <col min="4" max="4" width="42.7109375" style="414" customWidth="1"/>
    <col min="5" max="5" width="30" style="414" customWidth="1"/>
    <col min="6" max="6" width="18.7109375" style="482" bestFit="1" customWidth="1"/>
    <col min="7" max="7" width="12.140625" style="482" customWidth="1"/>
    <col min="8" max="8" width="12.7109375" style="414" customWidth="1"/>
    <col min="9" max="9" width="15.85546875" style="414" bestFit="1" customWidth="1"/>
    <col min="10" max="10" width="17.85546875" style="414" customWidth="1"/>
    <col min="11" max="12" width="16.140625" style="414" customWidth="1"/>
    <col min="13" max="13" width="15.42578125" style="414" customWidth="1"/>
    <col min="14" max="14" width="20.28515625" style="414" bestFit="1" customWidth="1"/>
    <col min="15" max="15" width="43.28515625" style="414" customWidth="1"/>
    <col min="16" max="16" width="8.7109375" style="414" bestFit="1" customWidth="1"/>
    <col min="17" max="17" width="10.85546875" style="414" bestFit="1" customWidth="1"/>
    <col min="18" max="18" width="11.140625" style="415" bestFit="1" customWidth="1"/>
    <col min="19" max="19" width="11.140625" style="415" customWidth="1"/>
    <col min="20" max="20" width="18.28515625" style="361" bestFit="1" customWidth="1"/>
    <col min="21" max="21" width="18.85546875" style="415" bestFit="1" customWidth="1"/>
    <col min="22" max="22" width="10.5703125" style="414" bestFit="1" customWidth="1"/>
    <col min="23" max="24" width="7.85546875" style="414" customWidth="1"/>
    <col min="25" max="25" width="7.7109375" style="414" customWidth="1"/>
    <col min="26" max="16384" width="7.85546875" style="414"/>
  </cols>
  <sheetData>
    <row r="1" spans="2:24" ht="28.5" customHeight="1" x14ac:dyDescent="0.25">
      <c r="B1" s="829" t="s">
        <v>702</v>
      </c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</row>
    <row r="2" spans="2:24" ht="28.5" customHeight="1" x14ac:dyDescent="0.25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</row>
    <row r="3" spans="2:24" x14ac:dyDescent="0.25">
      <c r="B3" s="416"/>
      <c r="C3" s="416"/>
      <c r="D3" s="416"/>
      <c r="E3" s="416"/>
      <c r="F3" s="416"/>
      <c r="G3" s="416"/>
      <c r="H3" s="416"/>
      <c r="I3" s="416"/>
      <c r="J3" s="416"/>
      <c r="K3" s="830" t="s">
        <v>626</v>
      </c>
      <c r="L3" s="830"/>
      <c r="M3" s="830"/>
      <c r="N3" s="830"/>
    </row>
    <row r="4" spans="2:24" ht="33.6" customHeight="1" x14ac:dyDescent="0.25">
      <c r="B4" s="588"/>
      <c r="C4" s="850"/>
      <c r="D4" s="850"/>
      <c r="E4" s="851" t="s">
        <v>627</v>
      </c>
      <c r="F4" s="852"/>
      <c r="G4" s="853"/>
      <c r="H4" s="851" t="s">
        <v>703</v>
      </c>
      <c r="I4" s="852"/>
      <c r="J4" s="852"/>
      <c r="K4" s="853"/>
      <c r="L4" s="857" t="s">
        <v>629</v>
      </c>
      <c r="M4" s="857"/>
      <c r="N4" s="857"/>
      <c r="O4" s="858" t="s">
        <v>854</v>
      </c>
      <c r="P4" s="858"/>
      <c r="Q4" s="418">
        <v>1.2</v>
      </c>
      <c r="R4" s="419">
        <v>1.2</v>
      </c>
      <c r="S4" s="589"/>
      <c r="T4" s="589"/>
      <c r="U4" s="420" t="s">
        <v>628</v>
      </c>
      <c r="V4" s="420"/>
      <c r="W4" s="420"/>
      <c r="X4" s="420"/>
    </row>
    <row r="5" spans="2:24" ht="33.6" customHeight="1" x14ac:dyDescent="0.25">
      <c r="B5" s="588"/>
      <c r="C5" s="850"/>
      <c r="D5" s="850"/>
      <c r="E5" s="854"/>
      <c r="F5" s="855"/>
      <c r="G5" s="856"/>
      <c r="H5" s="854"/>
      <c r="I5" s="855"/>
      <c r="J5" s="855"/>
      <c r="K5" s="856"/>
      <c r="L5" s="857"/>
      <c r="M5" s="857"/>
      <c r="N5" s="857"/>
      <c r="O5" s="894" t="s">
        <v>853</v>
      </c>
      <c r="P5" s="895"/>
      <c r="Q5" s="421">
        <v>1</v>
      </c>
      <c r="R5" s="422">
        <v>1.2</v>
      </c>
      <c r="S5" s="593"/>
      <c r="U5" s="420" t="s">
        <v>703</v>
      </c>
      <c r="V5" s="420"/>
      <c r="W5" s="420"/>
      <c r="X5" s="420"/>
    </row>
    <row r="6" spans="2:24" ht="33.6" customHeight="1" x14ac:dyDescent="0.25">
      <c r="B6" s="590"/>
      <c r="C6" s="896"/>
      <c r="D6" s="896"/>
      <c r="E6" s="851" t="s">
        <v>630</v>
      </c>
      <c r="F6" s="852"/>
      <c r="G6" s="853"/>
      <c r="H6" s="897">
        <f>N52</f>
        <v>0.1</v>
      </c>
      <c r="I6" s="898"/>
      <c r="J6" s="898"/>
      <c r="K6" s="899"/>
      <c r="L6" s="903">
        <f>COUNTA(F14:F33)</f>
        <v>18</v>
      </c>
      <c r="M6" s="903"/>
      <c r="N6" s="903"/>
      <c r="O6" s="904" t="s">
        <v>852</v>
      </c>
      <c r="P6" s="905"/>
      <c r="Q6" s="424">
        <v>1</v>
      </c>
      <c r="R6" s="425">
        <v>1</v>
      </c>
      <c r="S6" s="593"/>
      <c r="T6" s="597" t="s">
        <v>704</v>
      </c>
      <c r="U6" s="426"/>
      <c r="V6" s="415"/>
    </row>
    <row r="7" spans="2:24" ht="33.6" customHeight="1" x14ac:dyDescent="0.25">
      <c r="B7" s="590"/>
      <c r="C7" s="850"/>
      <c r="D7" s="850"/>
      <c r="E7" s="854"/>
      <c r="F7" s="855"/>
      <c r="G7" s="856"/>
      <c r="H7" s="900"/>
      <c r="I7" s="901"/>
      <c r="J7" s="901"/>
      <c r="K7" s="902"/>
      <c r="L7" s="903"/>
      <c r="M7" s="903"/>
      <c r="N7" s="903"/>
      <c r="O7" s="906" t="s">
        <v>851</v>
      </c>
      <c r="P7" s="907"/>
      <c r="Q7" s="427">
        <v>0.7</v>
      </c>
      <c r="R7" s="428">
        <v>1</v>
      </c>
      <c r="S7" s="594"/>
      <c r="T7" s="597" t="s">
        <v>705</v>
      </c>
      <c r="U7" s="361"/>
      <c r="V7" s="415"/>
    </row>
    <row r="8" spans="2:24" ht="33.6" customHeight="1" x14ac:dyDescent="0.25">
      <c r="B8" s="590"/>
      <c r="C8" s="850"/>
      <c r="D8" s="850"/>
      <c r="E8" s="908" t="s">
        <v>631</v>
      </c>
      <c r="F8" s="909"/>
      <c r="G8" s="910"/>
      <c r="H8" s="911" t="str">
        <f>N53</f>
        <v>Need Development</v>
      </c>
      <c r="I8" s="912"/>
      <c r="J8" s="912"/>
      <c r="K8" s="913"/>
      <c r="L8" s="903"/>
      <c r="M8" s="903"/>
      <c r="N8" s="903"/>
      <c r="O8" s="887" t="s">
        <v>850</v>
      </c>
      <c r="P8" s="888"/>
      <c r="Q8" s="362">
        <v>0</v>
      </c>
      <c r="R8" s="363">
        <v>0.7</v>
      </c>
      <c r="S8" s="435"/>
      <c r="T8" s="597" t="s">
        <v>706</v>
      </c>
      <c r="U8" s="415" t="s">
        <v>652</v>
      </c>
      <c r="V8" s="414" t="s">
        <v>653</v>
      </c>
    </row>
    <row r="9" spans="2:24" ht="12.75" customHeight="1" x14ac:dyDescent="0.25">
      <c r="B9" s="420"/>
      <c r="C9" s="420"/>
      <c r="D9" s="429"/>
      <c r="E9" s="430"/>
      <c r="F9" s="430"/>
      <c r="G9" s="430"/>
      <c r="H9" s="430"/>
      <c r="I9" s="430"/>
      <c r="J9" s="431"/>
      <c r="K9" s="432"/>
      <c r="L9" s="433"/>
      <c r="M9" s="434"/>
      <c r="N9" s="435"/>
      <c r="T9" s="361" t="s">
        <v>707</v>
      </c>
      <c r="U9" s="415" t="s">
        <v>658</v>
      </c>
      <c r="V9" s="414" t="s">
        <v>708</v>
      </c>
    </row>
    <row r="10" spans="2:24" ht="21" customHeight="1" x14ac:dyDescent="0.25">
      <c r="B10" s="436" t="s">
        <v>728</v>
      </c>
      <c r="C10" s="420" t="s">
        <v>710</v>
      </c>
      <c r="D10" s="429"/>
      <c r="E10" s="430"/>
      <c r="F10" s="430"/>
      <c r="G10" s="430"/>
      <c r="H10" s="430"/>
      <c r="I10" s="430"/>
      <c r="J10" s="431"/>
      <c r="K10" s="432"/>
      <c r="L10" s="433"/>
      <c r="M10" s="434"/>
      <c r="N10" s="435"/>
      <c r="T10" s="361" t="s">
        <v>709</v>
      </c>
      <c r="U10" s="415" t="s">
        <v>662</v>
      </c>
    </row>
    <row r="11" spans="2:24" ht="14.25" customHeight="1" thickBot="1" x14ac:dyDescent="0.3">
      <c r="B11" s="437"/>
      <c r="C11" s="420"/>
      <c r="D11" s="429"/>
      <c r="E11" s="430"/>
      <c r="F11" s="430"/>
      <c r="G11" s="430"/>
      <c r="H11" s="430"/>
      <c r="I11" s="430"/>
      <c r="J11" s="431"/>
      <c r="K11" s="432"/>
      <c r="L11" s="433"/>
      <c r="M11" s="434"/>
      <c r="N11" s="435"/>
      <c r="T11" s="361" t="s">
        <v>711</v>
      </c>
      <c r="U11" s="415" t="s">
        <v>712</v>
      </c>
    </row>
    <row r="12" spans="2:24" s="415" customFormat="1" x14ac:dyDescent="0.25">
      <c r="B12" s="842" t="s">
        <v>632</v>
      </c>
      <c r="C12" s="844" t="s">
        <v>633</v>
      </c>
      <c r="D12" s="844" t="s">
        <v>713</v>
      </c>
      <c r="E12" s="844" t="s">
        <v>635</v>
      </c>
      <c r="F12" s="844" t="s">
        <v>636</v>
      </c>
      <c r="G12" s="844" t="s">
        <v>637</v>
      </c>
      <c r="H12" s="439" t="s">
        <v>638</v>
      </c>
      <c r="I12" s="844" t="s">
        <v>714</v>
      </c>
      <c r="J12" s="438" t="s">
        <v>639</v>
      </c>
      <c r="K12" s="439" t="s">
        <v>640</v>
      </c>
      <c r="L12" s="439" t="s">
        <v>641</v>
      </c>
      <c r="M12" s="439" t="s">
        <v>473</v>
      </c>
      <c r="N12" s="439" t="s">
        <v>642</v>
      </c>
      <c r="O12" s="889" t="s">
        <v>849</v>
      </c>
      <c r="P12" s="867"/>
      <c r="Q12" s="867"/>
      <c r="R12" s="868"/>
      <c r="S12" s="437"/>
      <c r="T12" s="364" t="s">
        <v>715</v>
      </c>
      <c r="U12" s="415" t="s">
        <v>716</v>
      </c>
    </row>
    <row r="13" spans="2:24" s="415" customFormat="1" ht="16.5" thickBot="1" x14ac:dyDescent="0.3">
      <c r="B13" s="843"/>
      <c r="C13" s="845"/>
      <c r="D13" s="845"/>
      <c r="E13" s="845"/>
      <c r="F13" s="845"/>
      <c r="G13" s="845"/>
      <c r="H13" s="441" t="s">
        <v>643</v>
      </c>
      <c r="I13" s="845"/>
      <c r="J13" s="440" t="s">
        <v>644</v>
      </c>
      <c r="K13" s="441" t="s">
        <v>645</v>
      </c>
      <c r="L13" s="441" t="s">
        <v>646</v>
      </c>
      <c r="M13" s="441" t="s">
        <v>647</v>
      </c>
      <c r="N13" s="441" t="s">
        <v>648</v>
      </c>
      <c r="O13" s="890"/>
      <c r="P13" s="869"/>
      <c r="Q13" s="869"/>
      <c r="R13" s="870"/>
      <c r="S13" s="437"/>
      <c r="T13" s="367" t="s">
        <v>717</v>
      </c>
    </row>
    <row r="14" spans="2:24" ht="48" customHeight="1" x14ac:dyDescent="0.25">
      <c r="B14" s="831" t="s">
        <v>649</v>
      </c>
      <c r="C14" s="443" t="s">
        <v>650</v>
      </c>
      <c r="D14" s="444" t="s">
        <v>651</v>
      </c>
      <c r="E14" s="445" t="s">
        <v>718</v>
      </c>
      <c r="F14" s="446" t="s">
        <v>652</v>
      </c>
      <c r="G14" s="446" t="s">
        <v>653</v>
      </c>
      <c r="H14" s="365">
        <v>0.1</v>
      </c>
      <c r="I14" s="365" t="s">
        <v>848</v>
      </c>
      <c r="J14" s="447">
        <f>HLOOKUP(B10,'Database Corp.'!B2:N3,2,0)</f>
        <v>373892.32478734234</v>
      </c>
      <c r="K14" s="447">
        <f>HLOOKUP(B10,'Database Corp.'!B2:N4,3,0)</f>
        <v>0</v>
      </c>
      <c r="L14" s="447">
        <f>IF(F14="Maximize",K14-J14,IF(F14="Minimize",J14-K14,K14-J14))</f>
        <v>-373892.32478734234</v>
      </c>
      <c r="M14" s="366">
        <f t="shared" ref="M14:M50" si="0">IFERROR(IF(AND(F14="Maximize",G14="Unlock"),IF(((K14-J14)/ABS(J14))+1&lt;0,0,((K14-J14)/ABS(J14))+1),IF(AND(F14="Maximize",G14="Lock"),IF(((K14-J14)/ABS(J14))+1&lt;0,0,IF(((K14-J14)/ABS(J14))+1&gt;$N$4,$N$4,((K14-J14)/ABS(J14))+1)),IF(AND(F14="Minimize",G14="Unlock"),IF(((J14-K14)/ABS(J14))+1&lt;0,0,((J14-K14)/ABS(J14))+1),IF(AND(F14="Minimize",G14="Lock"),IF(((J14-K14)/ABS(J14))+1&lt;0,0,IF(((J14-K14)/ABS(J14))+1&gt;$N$4,$N$4,((J14-K14)/ABS(J14))+1)),IF(F14="Min to Zero",IF(K14&gt;J14,0,IF(K14&lt;J14,0,100%)),IF(F14="Stabilize to Target",IF(K14-J14=0,100%,IF(ABS(K14-J14)&gt;=ABS(J14),0,ABS(IF(K14&gt;J14,1-((K14-J14)/J14),IF(K14&lt;J14,1-((J14-ABS(K14))/J14),0))))),IF(F14="Stabilize to Zero",IF(AND(K14&lt;=J14,K14&gt;=-J14),ABS(IF(K14&gt;J14,K14-J14,IF(K14&lt;J14,J14-ABS(K14),0)))/ABS(J14),0)))))))),0)</f>
        <v>0</v>
      </c>
      <c r="N14" s="592">
        <f t="shared" ref="N14:N19" si="1">M14*H14</f>
        <v>0</v>
      </c>
      <c r="O14" s="891"/>
      <c r="P14" s="892"/>
      <c r="Q14" s="892"/>
      <c r="R14" s="893"/>
      <c r="S14" s="595"/>
      <c r="T14" s="367" t="s">
        <v>720</v>
      </c>
      <c r="U14" s="367"/>
    </row>
    <row r="15" spans="2:24" ht="62.25" customHeight="1" x14ac:dyDescent="0.25">
      <c r="B15" s="832"/>
      <c r="C15" s="833" t="s">
        <v>654</v>
      </c>
      <c r="D15" s="450" t="s">
        <v>721</v>
      </c>
      <c r="E15" s="445" t="s">
        <v>722</v>
      </c>
      <c r="F15" s="446" t="s">
        <v>652</v>
      </c>
      <c r="G15" s="446" t="s">
        <v>653</v>
      </c>
      <c r="H15" s="368">
        <v>0.05</v>
      </c>
      <c r="I15" s="365" t="s">
        <v>848</v>
      </c>
      <c r="J15" s="451">
        <f>HLOOKUP(B10,'Database Corp.'!B11:N12,2,0)</f>
        <v>67779.093473017725</v>
      </c>
      <c r="K15" s="452">
        <f>HLOOKUP(B10,'Database Corp.'!B11:N13,3,0)</f>
        <v>0</v>
      </c>
      <c r="L15" s="369">
        <f t="shared" ref="L15" si="2">IF(F15="Maximize",K15-J15,IF(F15="Minimize",J15-K15,K15-J15))</f>
        <v>-67779.093473017725</v>
      </c>
      <c r="M15" s="366">
        <f t="shared" si="0"/>
        <v>0</v>
      </c>
      <c r="N15" s="591">
        <f t="shared" si="1"/>
        <v>0</v>
      </c>
      <c r="O15" s="914"/>
      <c r="P15" s="915"/>
      <c r="Q15" s="915"/>
      <c r="R15" s="916"/>
      <c r="S15" s="595"/>
      <c r="T15" s="367" t="s">
        <v>723</v>
      </c>
      <c r="U15" s="367"/>
    </row>
    <row r="16" spans="2:24" ht="33" customHeight="1" x14ac:dyDescent="0.25">
      <c r="B16" s="832"/>
      <c r="C16" s="834"/>
      <c r="D16" s="444" t="s">
        <v>724</v>
      </c>
      <c r="E16" s="445" t="s">
        <v>656</v>
      </c>
      <c r="F16" s="446" t="s">
        <v>652</v>
      </c>
      <c r="G16" s="446" t="s">
        <v>653</v>
      </c>
      <c r="H16" s="365">
        <v>0.1</v>
      </c>
      <c r="I16" s="365" t="s">
        <v>848</v>
      </c>
      <c r="J16" s="447">
        <f>HLOOKUP(B10,'Database Corp.'!B20:N21,2,0)</f>
        <v>19460.617260740386</v>
      </c>
      <c r="K16" s="447">
        <f>HLOOKUP(B10,'Database Corp.'!B20:N22,3,0)</f>
        <v>0</v>
      </c>
      <c r="L16" s="447">
        <f>IF(F16="Maximize",K16-J16,IF(F16="Minimize",J16-K16,K16-J16))</f>
        <v>-19460.617260740386</v>
      </c>
      <c r="M16" s="366">
        <f t="shared" si="0"/>
        <v>0</v>
      </c>
      <c r="N16" s="591">
        <f t="shared" si="1"/>
        <v>0</v>
      </c>
      <c r="O16" s="914"/>
      <c r="P16" s="915"/>
      <c r="Q16" s="915"/>
      <c r="R16" s="916"/>
      <c r="S16" s="595"/>
      <c r="T16" s="367" t="s">
        <v>725</v>
      </c>
      <c r="U16" s="367"/>
    </row>
    <row r="17" spans="2:21" ht="42.75" customHeight="1" x14ac:dyDescent="0.25">
      <c r="B17" s="832"/>
      <c r="C17" s="835" t="s">
        <v>657</v>
      </c>
      <c r="D17" s="450" t="s">
        <v>726</v>
      </c>
      <c r="E17" s="445" t="s">
        <v>718</v>
      </c>
      <c r="F17" s="446" t="s">
        <v>658</v>
      </c>
      <c r="G17" s="446" t="s">
        <v>653</v>
      </c>
      <c r="H17" s="368">
        <v>0.05</v>
      </c>
      <c r="I17" s="368" t="s">
        <v>727</v>
      </c>
      <c r="J17" s="453">
        <f>HLOOKUP(B10,'Database Corp.'!B29:N30,2,0)</f>
        <v>7.4999999999999983E-2</v>
      </c>
      <c r="K17" s="453">
        <f>HLOOKUP(B10,'Database Corp.'!B29:N31,3,0)</f>
        <v>0</v>
      </c>
      <c r="L17" s="370">
        <f t="shared" ref="L17" si="3">IF(F17="Maximize",K17-J17,IF(F17="Minimize",J17-K17,K17-J17))</f>
        <v>7.4999999999999983E-2</v>
      </c>
      <c r="M17" s="366">
        <f t="shared" si="0"/>
        <v>0</v>
      </c>
      <c r="N17" s="591">
        <f t="shared" si="1"/>
        <v>0</v>
      </c>
      <c r="O17" s="914"/>
      <c r="P17" s="915"/>
      <c r="Q17" s="915"/>
      <c r="R17" s="916"/>
      <c r="S17" s="595"/>
      <c r="T17" s="367" t="s">
        <v>728</v>
      </c>
      <c r="U17" s="367"/>
    </row>
    <row r="18" spans="2:21" ht="30" customHeight="1" x14ac:dyDescent="0.25">
      <c r="B18" s="832"/>
      <c r="C18" s="836"/>
      <c r="D18" s="444" t="s">
        <v>729</v>
      </c>
      <c r="E18" s="445" t="s">
        <v>656</v>
      </c>
      <c r="F18" s="446" t="s">
        <v>658</v>
      </c>
      <c r="G18" s="446" t="s">
        <v>653</v>
      </c>
      <c r="H18" s="365">
        <v>0.05</v>
      </c>
      <c r="I18" s="365" t="s">
        <v>727</v>
      </c>
      <c r="J18" s="454">
        <f>HLOOKUP(B10,'Database Corp.'!B37:N38,2,0)</f>
        <v>0.94999999999999984</v>
      </c>
      <c r="K18" s="454" t="e">
        <f>HLOOKUP(B10,'Database Corp.'!B37:N39,3,0)</f>
        <v>#DIV/0!</v>
      </c>
      <c r="L18" s="454" t="e">
        <f>IF(F18="Maximize",K18-J18,IF(F18="Minimize",J18-K18,K18-J18))</f>
        <v>#DIV/0!</v>
      </c>
      <c r="M18" s="366">
        <f t="shared" si="0"/>
        <v>0</v>
      </c>
      <c r="N18" s="591">
        <f t="shared" si="1"/>
        <v>0</v>
      </c>
      <c r="O18" s="914"/>
      <c r="P18" s="915"/>
      <c r="Q18" s="915"/>
      <c r="R18" s="916"/>
      <c r="S18" s="595"/>
      <c r="T18" s="367"/>
      <c r="U18" s="367"/>
    </row>
    <row r="19" spans="2:21" ht="39.75" customHeight="1" x14ac:dyDescent="0.25">
      <c r="B19" s="832"/>
      <c r="C19" s="837"/>
      <c r="D19" s="455" t="s">
        <v>730</v>
      </c>
      <c r="E19" s="456" t="s">
        <v>731</v>
      </c>
      <c r="F19" s="446" t="s">
        <v>658</v>
      </c>
      <c r="G19" s="446" t="s">
        <v>653</v>
      </c>
      <c r="H19" s="371">
        <v>0.04</v>
      </c>
      <c r="I19" s="371" t="s">
        <v>727</v>
      </c>
      <c r="J19" s="457">
        <f>HLOOKUP(B10,'Database Corp.'!B44:N45,2,0)</f>
        <v>1.1999999999999999E-2</v>
      </c>
      <c r="K19" s="457" t="e">
        <f>HLOOKUP(B10,'Database Corp.'!B44:N46,3,0)</f>
        <v>#DIV/0!</v>
      </c>
      <c r="L19" s="458" t="e">
        <f t="shared" ref="L19" si="4">IF(F19="Maximize",K19-J19,IF(F19="Minimize",J19-K19,K19-J19))</f>
        <v>#DIV/0!</v>
      </c>
      <c r="M19" s="366">
        <f t="shared" si="0"/>
        <v>0</v>
      </c>
      <c r="N19" s="591">
        <f t="shared" si="1"/>
        <v>0</v>
      </c>
      <c r="O19" s="914"/>
      <c r="P19" s="915"/>
      <c r="Q19" s="915"/>
      <c r="R19" s="916"/>
      <c r="S19" s="595"/>
      <c r="U19" s="367"/>
    </row>
    <row r="20" spans="2:21" x14ac:dyDescent="0.25">
      <c r="B20" s="832"/>
      <c r="C20" s="838" t="s">
        <v>659</v>
      </c>
      <c r="D20" s="838"/>
      <c r="E20" s="838"/>
      <c r="F20" s="838"/>
      <c r="G20" s="838"/>
      <c r="H20" s="372">
        <f>SUM(H14:H19)</f>
        <v>0.38999999999999996</v>
      </c>
      <c r="I20" s="372"/>
      <c r="J20" s="373"/>
      <c r="K20" s="373"/>
      <c r="L20" s="373"/>
      <c r="M20" s="373"/>
      <c r="N20" s="591">
        <f>SUM(N14:N19)</f>
        <v>0</v>
      </c>
      <c r="O20" s="914"/>
      <c r="P20" s="915"/>
      <c r="Q20" s="915"/>
      <c r="R20" s="916"/>
      <c r="S20" s="595"/>
    </row>
    <row r="21" spans="2:21" ht="40.5" customHeight="1" x14ac:dyDescent="0.25">
      <c r="B21" s="839" t="s">
        <v>542</v>
      </c>
      <c r="C21" s="840" t="s">
        <v>660</v>
      </c>
      <c r="D21" s="444" t="s">
        <v>732</v>
      </c>
      <c r="E21" s="445" t="s">
        <v>733</v>
      </c>
      <c r="F21" s="446" t="s">
        <v>652</v>
      </c>
      <c r="G21" s="446" t="s">
        <v>653</v>
      </c>
      <c r="H21" s="365">
        <v>0.02</v>
      </c>
      <c r="I21" s="365" t="s">
        <v>727</v>
      </c>
      <c r="J21" s="454">
        <v>1</v>
      </c>
      <c r="K21" s="454" t="s">
        <v>734</v>
      </c>
      <c r="L21" s="454" t="e">
        <f t="shared" ref="L21:L27" si="5">IF(F21="Maximize",K21-J21,IF(F21="Minimize",J21-K21,K21-J21))</f>
        <v>#VALUE!</v>
      </c>
      <c r="M21" s="366">
        <f t="shared" si="0"/>
        <v>0</v>
      </c>
      <c r="N21" s="591">
        <f t="shared" ref="N21:N27" si="6">M21*H21</f>
        <v>0</v>
      </c>
      <c r="O21" s="914"/>
      <c r="P21" s="915"/>
      <c r="Q21" s="915"/>
      <c r="R21" s="916"/>
      <c r="S21" s="595"/>
    </row>
    <row r="22" spans="2:21" ht="40.5" customHeight="1" x14ac:dyDescent="0.25">
      <c r="B22" s="839"/>
      <c r="C22" s="840"/>
      <c r="D22" s="450" t="s">
        <v>735</v>
      </c>
      <c r="E22" s="445" t="s">
        <v>733</v>
      </c>
      <c r="F22" s="446" t="s">
        <v>652</v>
      </c>
      <c r="G22" s="446" t="s">
        <v>653</v>
      </c>
      <c r="H22" s="368">
        <v>0.02</v>
      </c>
      <c r="I22" s="365" t="s">
        <v>736</v>
      </c>
      <c r="J22" s="375">
        <v>4</v>
      </c>
      <c r="K22" s="459" t="s">
        <v>734</v>
      </c>
      <c r="L22" s="369" t="e">
        <f t="shared" si="5"/>
        <v>#VALUE!</v>
      </c>
      <c r="M22" s="366">
        <f t="shared" si="0"/>
        <v>0</v>
      </c>
      <c r="N22" s="591">
        <f t="shared" si="6"/>
        <v>0</v>
      </c>
      <c r="O22" s="914"/>
      <c r="P22" s="915"/>
      <c r="Q22" s="915"/>
      <c r="R22" s="916"/>
      <c r="S22" s="595"/>
    </row>
    <row r="23" spans="2:21" ht="58.5" customHeight="1" x14ac:dyDescent="0.25">
      <c r="B23" s="839"/>
      <c r="C23" s="834"/>
      <c r="D23" s="450" t="s">
        <v>661</v>
      </c>
      <c r="E23" s="445" t="s">
        <v>737</v>
      </c>
      <c r="F23" s="446" t="s">
        <v>662</v>
      </c>
      <c r="G23" s="446" t="s">
        <v>653</v>
      </c>
      <c r="H23" s="368">
        <v>0.01</v>
      </c>
      <c r="I23" s="365" t="s">
        <v>738</v>
      </c>
      <c r="J23" s="375">
        <f>HLOOKUP(B10,'Database Corp.'!B52:N53,2,0)</f>
        <v>0</v>
      </c>
      <c r="K23" s="459">
        <v>0</v>
      </c>
      <c r="L23" s="369">
        <f t="shared" si="5"/>
        <v>0</v>
      </c>
      <c r="M23" s="366">
        <f t="shared" si="0"/>
        <v>1</v>
      </c>
      <c r="N23" s="591">
        <f t="shared" si="6"/>
        <v>0.01</v>
      </c>
      <c r="O23" s="914"/>
      <c r="P23" s="915"/>
      <c r="Q23" s="915"/>
      <c r="R23" s="916"/>
      <c r="S23" s="595"/>
    </row>
    <row r="24" spans="2:21" ht="40.5" customHeight="1" x14ac:dyDescent="0.25">
      <c r="B24" s="839"/>
      <c r="C24" s="460" t="s">
        <v>663</v>
      </c>
      <c r="D24" s="450" t="s">
        <v>664</v>
      </c>
      <c r="E24" s="445" t="s">
        <v>739</v>
      </c>
      <c r="F24" s="446" t="s">
        <v>652</v>
      </c>
      <c r="G24" s="446" t="s">
        <v>653</v>
      </c>
      <c r="H24" s="368">
        <v>0.02</v>
      </c>
      <c r="I24" s="365">
        <v>0.05</v>
      </c>
      <c r="J24" s="461">
        <v>0.75</v>
      </c>
      <c r="K24" s="376" t="s">
        <v>734</v>
      </c>
      <c r="L24" s="376" t="e">
        <f t="shared" si="5"/>
        <v>#VALUE!</v>
      </c>
      <c r="M24" s="366">
        <f t="shared" si="0"/>
        <v>0</v>
      </c>
      <c r="N24" s="591">
        <f t="shared" si="6"/>
        <v>0</v>
      </c>
      <c r="O24" s="914"/>
      <c r="P24" s="915"/>
      <c r="Q24" s="915"/>
      <c r="R24" s="916"/>
      <c r="S24" s="595"/>
    </row>
    <row r="25" spans="2:21" ht="40.5" customHeight="1" x14ac:dyDescent="0.25">
      <c r="B25" s="839"/>
      <c r="C25" s="835" t="s">
        <v>665</v>
      </c>
      <c r="D25" s="455" t="s">
        <v>740</v>
      </c>
      <c r="E25" s="445" t="s">
        <v>741</v>
      </c>
      <c r="F25" s="446" t="s">
        <v>652</v>
      </c>
      <c r="G25" s="446" t="s">
        <v>653</v>
      </c>
      <c r="H25" s="371">
        <v>0.02</v>
      </c>
      <c r="I25" s="365" t="s">
        <v>742</v>
      </c>
      <c r="J25" s="375">
        <v>8</v>
      </c>
      <c r="K25" s="375">
        <f>HLOOKUP(B10,'Database Corp.'!A112:N114,2,0)</f>
        <v>0</v>
      </c>
      <c r="L25" s="462">
        <f t="shared" si="5"/>
        <v>-8</v>
      </c>
      <c r="M25" s="366">
        <f t="shared" si="0"/>
        <v>0</v>
      </c>
      <c r="N25" s="591">
        <f t="shared" si="6"/>
        <v>0</v>
      </c>
      <c r="O25" s="914"/>
      <c r="P25" s="915"/>
      <c r="Q25" s="915"/>
      <c r="R25" s="916"/>
      <c r="S25" s="595"/>
    </row>
    <row r="26" spans="2:21" ht="40.5" customHeight="1" x14ac:dyDescent="0.25">
      <c r="B26" s="839"/>
      <c r="C26" s="836"/>
      <c r="D26" s="455" t="s">
        <v>743</v>
      </c>
      <c r="E26" s="445" t="s">
        <v>741</v>
      </c>
      <c r="F26" s="446" t="s">
        <v>652</v>
      </c>
      <c r="G26" s="446" t="s">
        <v>653</v>
      </c>
      <c r="H26" s="371">
        <v>0.02</v>
      </c>
      <c r="I26" s="365" t="s">
        <v>742</v>
      </c>
      <c r="J26" s="454">
        <v>1</v>
      </c>
      <c r="K26" s="376">
        <v>1</v>
      </c>
      <c r="L26" s="377">
        <f t="shared" si="5"/>
        <v>0</v>
      </c>
      <c r="M26" s="366">
        <f t="shared" si="0"/>
        <v>0</v>
      </c>
      <c r="N26" s="591">
        <f t="shared" si="6"/>
        <v>0</v>
      </c>
      <c r="O26" s="914"/>
      <c r="P26" s="915"/>
      <c r="Q26" s="915"/>
      <c r="R26" s="916"/>
      <c r="S26" s="595"/>
    </row>
    <row r="27" spans="2:21" ht="40.5" customHeight="1" x14ac:dyDescent="0.25">
      <c r="B27" s="839"/>
      <c r="C27" s="837"/>
      <c r="D27" s="455" t="s">
        <v>744</v>
      </c>
      <c r="E27" s="445" t="s">
        <v>741</v>
      </c>
      <c r="F27" s="446" t="s">
        <v>652</v>
      </c>
      <c r="G27" s="446" t="s">
        <v>653</v>
      </c>
      <c r="H27" s="371">
        <v>0.02</v>
      </c>
      <c r="I27" s="365" t="s">
        <v>742</v>
      </c>
      <c r="J27" s="375">
        <v>5</v>
      </c>
      <c r="K27" s="375">
        <f>HLOOKUP(B10,'Database Corp.'!B120:N122,2,0)</f>
        <v>0</v>
      </c>
      <c r="L27" s="462">
        <f t="shared" si="5"/>
        <v>-5</v>
      </c>
      <c r="M27" s="366">
        <f t="shared" si="0"/>
        <v>0</v>
      </c>
      <c r="N27" s="591">
        <f t="shared" si="6"/>
        <v>0</v>
      </c>
      <c r="O27" s="914"/>
      <c r="P27" s="915"/>
      <c r="Q27" s="915"/>
      <c r="R27" s="916"/>
      <c r="S27" s="595"/>
    </row>
    <row r="28" spans="2:21" x14ac:dyDescent="0.25">
      <c r="B28" s="839"/>
      <c r="C28" s="841" t="s">
        <v>745</v>
      </c>
      <c r="D28" s="841"/>
      <c r="E28" s="841"/>
      <c r="F28" s="841"/>
      <c r="G28" s="841"/>
      <c r="H28" s="378">
        <f>SUM(H21:H27)</f>
        <v>0.13</v>
      </c>
      <c r="I28" s="378"/>
      <c r="J28" s="379"/>
      <c r="K28" s="379"/>
      <c r="L28" s="379"/>
      <c r="M28" s="379"/>
      <c r="N28" s="591">
        <f>SUM(N21:N27)</f>
        <v>0.01</v>
      </c>
      <c r="O28" s="914"/>
      <c r="P28" s="915"/>
      <c r="Q28" s="915"/>
      <c r="R28" s="916"/>
      <c r="S28" s="595"/>
    </row>
    <row r="29" spans="2:21" ht="42.75" customHeight="1" x14ac:dyDescent="0.25">
      <c r="B29" s="848" t="s">
        <v>667</v>
      </c>
      <c r="C29" s="840" t="s">
        <v>668</v>
      </c>
      <c r="D29" s="444" t="s">
        <v>669</v>
      </c>
      <c r="E29" s="445" t="s">
        <v>746</v>
      </c>
      <c r="F29" s="446" t="s">
        <v>658</v>
      </c>
      <c r="G29" s="446" t="s">
        <v>653</v>
      </c>
      <c r="H29" s="365">
        <v>0.03</v>
      </c>
      <c r="I29" s="365" t="s">
        <v>727</v>
      </c>
      <c r="J29" s="463">
        <f>HLOOKUP(B10,'[1]DB Dir Prod'!B66:N69,4,0)</f>
        <v>2.0000000000000005E-3</v>
      </c>
      <c r="K29" s="464" t="e">
        <f>HLOOKUP(B10,'Database Corp.'!B127:N129,3,0)</f>
        <v>#DIV/0!</v>
      </c>
      <c r="L29" s="374" t="e">
        <f t="shared" ref="L29:L50" si="7">IF(F29="Maximize",K29-J29,IF(F29="Minimize",J29-K29,K29-J29))</f>
        <v>#DIV/0!</v>
      </c>
      <c r="M29" s="366">
        <f t="shared" si="0"/>
        <v>0</v>
      </c>
      <c r="N29" s="591">
        <f t="shared" ref="N29:N40" si="8">M29*H29</f>
        <v>0</v>
      </c>
      <c r="O29" s="914"/>
      <c r="P29" s="915"/>
      <c r="Q29" s="915"/>
      <c r="R29" s="916"/>
      <c r="S29" s="595"/>
    </row>
    <row r="30" spans="2:21" ht="42.75" customHeight="1" x14ac:dyDescent="0.25">
      <c r="B30" s="848"/>
      <c r="C30" s="834"/>
      <c r="D30" s="450" t="s">
        <v>670</v>
      </c>
      <c r="E30" s="445" t="s">
        <v>747</v>
      </c>
      <c r="F30" s="446" t="s">
        <v>662</v>
      </c>
      <c r="G30" s="446" t="s">
        <v>653</v>
      </c>
      <c r="H30" s="368">
        <v>0.03</v>
      </c>
      <c r="I30" s="365" t="s">
        <v>748</v>
      </c>
      <c r="J30" s="465">
        <f>HLOOKUP(B10,'Database Corp.'!B61:N62,2,0)</f>
        <v>0</v>
      </c>
      <c r="K30" s="452">
        <f>HLOOKUP(B10,'Database Corp.'!B61:N63,3,0)</f>
        <v>0</v>
      </c>
      <c r="L30" s="369">
        <f t="shared" si="7"/>
        <v>0</v>
      </c>
      <c r="M30" s="366">
        <f t="shared" si="0"/>
        <v>1</v>
      </c>
      <c r="N30" s="591">
        <f t="shared" si="8"/>
        <v>0.03</v>
      </c>
      <c r="O30" s="914"/>
      <c r="P30" s="915"/>
      <c r="Q30" s="915"/>
      <c r="R30" s="916"/>
      <c r="S30" s="595"/>
    </row>
    <row r="31" spans="2:21" ht="42.75" customHeight="1" x14ac:dyDescent="0.25">
      <c r="B31" s="848"/>
      <c r="C31" s="833" t="s">
        <v>671</v>
      </c>
      <c r="D31" s="450" t="s">
        <v>672</v>
      </c>
      <c r="E31" s="445" t="s">
        <v>749</v>
      </c>
      <c r="F31" s="446" t="s">
        <v>652</v>
      </c>
      <c r="G31" s="446" t="s">
        <v>653</v>
      </c>
      <c r="H31" s="368">
        <v>0.06</v>
      </c>
      <c r="I31" s="368" t="s">
        <v>750</v>
      </c>
      <c r="J31" s="452">
        <f>HLOOKUP(B10,'[1]DB Dir Prod'!B76:N77,2,0)</f>
        <v>3000</v>
      </c>
      <c r="K31" s="452" t="e">
        <f>HLOOKUP(B10,'Database Corp.'!B134:N136,3,0)</f>
        <v>#DIV/0!</v>
      </c>
      <c r="L31" s="466" t="e">
        <f t="shared" si="7"/>
        <v>#DIV/0!</v>
      </c>
      <c r="M31" s="366">
        <f t="shared" si="0"/>
        <v>0</v>
      </c>
      <c r="N31" s="591">
        <f t="shared" si="8"/>
        <v>0</v>
      </c>
      <c r="O31" s="914"/>
      <c r="P31" s="915"/>
      <c r="Q31" s="915"/>
      <c r="R31" s="916"/>
      <c r="S31" s="595"/>
    </row>
    <row r="32" spans="2:21" ht="42.75" customHeight="1" x14ac:dyDescent="0.25">
      <c r="B32" s="848"/>
      <c r="C32" s="840"/>
      <c r="D32" s="450" t="s">
        <v>673</v>
      </c>
      <c r="E32" s="445" t="s">
        <v>751</v>
      </c>
      <c r="F32" s="446" t="s">
        <v>652</v>
      </c>
      <c r="G32" s="446" t="s">
        <v>653</v>
      </c>
      <c r="H32" s="368">
        <v>0.06</v>
      </c>
      <c r="I32" s="365" t="s">
        <v>727</v>
      </c>
      <c r="J32" s="374">
        <v>0.85</v>
      </c>
      <c r="K32" s="467" t="e">
        <f>HLOOKUP(B10,'Database Corp.'!B188:N193,6,0)</f>
        <v>#DIV/0!</v>
      </c>
      <c r="L32" s="376" t="e">
        <f t="shared" si="7"/>
        <v>#DIV/0!</v>
      </c>
      <c r="M32" s="366">
        <f t="shared" si="0"/>
        <v>0</v>
      </c>
      <c r="N32" s="591">
        <f t="shared" si="8"/>
        <v>0</v>
      </c>
      <c r="O32" s="914"/>
      <c r="P32" s="915"/>
      <c r="Q32" s="915"/>
      <c r="R32" s="916"/>
      <c r="S32" s="595"/>
    </row>
    <row r="33" spans="1:21" ht="42.75" customHeight="1" x14ac:dyDescent="0.25">
      <c r="B33" s="848"/>
      <c r="C33" s="834"/>
      <c r="D33" s="450" t="s">
        <v>752</v>
      </c>
      <c r="E33" s="445" t="s">
        <v>656</v>
      </c>
      <c r="F33" s="446" t="s">
        <v>652</v>
      </c>
      <c r="G33" s="446" t="s">
        <v>653</v>
      </c>
      <c r="H33" s="368">
        <v>0.03</v>
      </c>
      <c r="I33" s="365" t="s">
        <v>727</v>
      </c>
      <c r="J33" s="374">
        <v>0.98</v>
      </c>
      <c r="K33" s="467" t="e">
        <f>HLOOKUP(B10,'Database Corp.'!B141:N143,3,0)</f>
        <v>#DIV/0!</v>
      </c>
      <c r="L33" s="376" t="e">
        <f t="shared" si="7"/>
        <v>#DIV/0!</v>
      </c>
      <c r="M33" s="366">
        <f t="shared" si="0"/>
        <v>0</v>
      </c>
      <c r="N33" s="591">
        <f t="shared" si="8"/>
        <v>0</v>
      </c>
      <c r="O33" s="914"/>
      <c r="P33" s="915"/>
      <c r="Q33" s="915"/>
      <c r="R33" s="916"/>
      <c r="S33" s="595"/>
    </row>
    <row r="34" spans="1:21" ht="42.75" customHeight="1" x14ac:dyDescent="0.25">
      <c r="B34" s="848"/>
      <c r="C34" s="833" t="s">
        <v>753</v>
      </c>
      <c r="D34" s="450" t="s">
        <v>754</v>
      </c>
      <c r="E34" s="445" t="s">
        <v>656</v>
      </c>
      <c r="F34" s="446" t="s">
        <v>658</v>
      </c>
      <c r="G34" s="446" t="s">
        <v>653</v>
      </c>
      <c r="H34" s="368">
        <v>0.01</v>
      </c>
      <c r="I34" s="365" t="s">
        <v>755</v>
      </c>
      <c r="J34" s="468">
        <v>1.2E-2</v>
      </c>
      <c r="K34" s="469" t="s">
        <v>734</v>
      </c>
      <c r="L34" s="470" t="e">
        <f t="shared" si="7"/>
        <v>#VALUE!</v>
      </c>
      <c r="M34" s="366">
        <f t="shared" si="0"/>
        <v>0</v>
      </c>
      <c r="N34" s="591">
        <f t="shared" si="8"/>
        <v>0</v>
      </c>
      <c r="O34" s="914"/>
      <c r="P34" s="915"/>
      <c r="Q34" s="915"/>
      <c r="R34" s="916"/>
      <c r="S34" s="595"/>
    </row>
    <row r="35" spans="1:21" ht="42.75" customHeight="1" x14ac:dyDescent="0.25">
      <c r="B35" s="848"/>
      <c r="C35" s="840"/>
      <c r="D35" s="450" t="s">
        <v>756</v>
      </c>
      <c r="E35" s="445" t="s">
        <v>656</v>
      </c>
      <c r="F35" s="446" t="s">
        <v>658</v>
      </c>
      <c r="G35" s="446" t="s">
        <v>653</v>
      </c>
      <c r="H35" s="368">
        <v>0.01</v>
      </c>
      <c r="I35" s="365" t="s">
        <v>757</v>
      </c>
      <c r="J35" s="468">
        <v>3.3000000000000002E-2</v>
      </c>
      <c r="K35" s="469" t="s">
        <v>734</v>
      </c>
      <c r="L35" s="471" t="e">
        <f t="shared" si="7"/>
        <v>#VALUE!</v>
      </c>
      <c r="M35" s="366">
        <f t="shared" si="0"/>
        <v>0</v>
      </c>
      <c r="N35" s="591">
        <f t="shared" si="8"/>
        <v>0</v>
      </c>
      <c r="O35" s="914"/>
      <c r="P35" s="915"/>
      <c r="Q35" s="915"/>
      <c r="R35" s="916"/>
      <c r="S35" s="595"/>
    </row>
    <row r="36" spans="1:21" ht="42.75" customHeight="1" x14ac:dyDescent="0.25">
      <c r="B36" s="848"/>
      <c r="C36" s="840"/>
      <c r="D36" s="450" t="s">
        <v>758</v>
      </c>
      <c r="E36" s="445" t="s">
        <v>656</v>
      </c>
      <c r="F36" s="446" t="s">
        <v>658</v>
      </c>
      <c r="G36" s="446" t="s">
        <v>653</v>
      </c>
      <c r="H36" s="368">
        <v>0.01</v>
      </c>
      <c r="I36" s="365" t="s">
        <v>759</v>
      </c>
      <c r="J36" s="468">
        <v>0.06</v>
      </c>
      <c r="K36" s="469" t="s">
        <v>734</v>
      </c>
      <c r="L36" s="471" t="e">
        <f t="shared" si="7"/>
        <v>#VALUE!</v>
      </c>
      <c r="M36" s="366">
        <f t="shared" si="0"/>
        <v>0</v>
      </c>
      <c r="N36" s="591">
        <f t="shared" si="8"/>
        <v>0</v>
      </c>
      <c r="O36" s="914"/>
      <c r="P36" s="915"/>
      <c r="Q36" s="915"/>
      <c r="R36" s="916"/>
      <c r="S36" s="595"/>
    </row>
    <row r="37" spans="1:21" ht="42.75" customHeight="1" x14ac:dyDescent="0.25">
      <c r="A37" s="414" t="s">
        <v>674</v>
      </c>
      <c r="B37" s="848"/>
      <c r="C37" s="840"/>
      <c r="D37" s="455" t="s">
        <v>760</v>
      </c>
      <c r="E37" s="445" t="s">
        <v>656</v>
      </c>
      <c r="F37" s="446" t="s">
        <v>658</v>
      </c>
      <c r="G37" s="446" t="s">
        <v>653</v>
      </c>
      <c r="H37" s="371">
        <v>0.01</v>
      </c>
      <c r="I37" s="365" t="s">
        <v>761</v>
      </c>
      <c r="J37" s="472">
        <v>5.0000000000000001E-4</v>
      </c>
      <c r="K37" s="469" t="s">
        <v>734</v>
      </c>
      <c r="L37" s="473" t="e">
        <f t="shared" si="7"/>
        <v>#VALUE!</v>
      </c>
      <c r="M37" s="366">
        <f t="shared" si="0"/>
        <v>0</v>
      </c>
      <c r="N37" s="591">
        <f t="shared" si="8"/>
        <v>0</v>
      </c>
      <c r="O37" s="914"/>
      <c r="P37" s="915"/>
      <c r="Q37" s="915"/>
      <c r="R37" s="916"/>
      <c r="S37" s="595"/>
    </row>
    <row r="38" spans="1:21" ht="42.75" customHeight="1" x14ac:dyDescent="0.25">
      <c r="A38" s="414" t="s">
        <v>674</v>
      </c>
      <c r="B38" s="848"/>
      <c r="C38" s="834"/>
      <c r="D38" s="455" t="s">
        <v>762</v>
      </c>
      <c r="E38" s="445" t="s">
        <v>162</v>
      </c>
      <c r="F38" s="446" t="s">
        <v>652</v>
      </c>
      <c r="G38" s="446" t="s">
        <v>653</v>
      </c>
      <c r="H38" s="371">
        <v>0.01</v>
      </c>
      <c r="I38" s="365" t="s">
        <v>727</v>
      </c>
      <c r="J38" s="454">
        <v>1</v>
      </c>
      <c r="K38" s="469" t="s">
        <v>734</v>
      </c>
      <c r="L38" s="473" t="e">
        <f t="shared" si="7"/>
        <v>#VALUE!</v>
      </c>
      <c r="M38" s="366">
        <f t="shared" si="0"/>
        <v>0</v>
      </c>
      <c r="N38" s="591">
        <f t="shared" si="8"/>
        <v>0</v>
      </c>
      <c r="O38" s="914"/>
      <c r="P38" s="915"/>
      <c r="Q38" s="915"/>
      <c r="R38" s="916"/>
      <c r="S38" s="595"/>
    </row>
    <row r="39" spans="1:21" ht="42.75" customHeight="1" x14ac:dyDescent="0.25">
      <c r="A39" s="414" t="s">
        <v>674</v>
      </c>
      <c r="B39" s="848"/>
      <c r="C39" s="835" t="s">
        <v>675</v>
      </c>
      <c r="D39" s="455" t="s">
        <v>763</v>
      </c>
      <c r="E39" s="445" t="s">
        <v>764</v>
      </c>
      <c r="F39" s="446" t="s">
        <v>712</v>
      </c>
      <c r="G39" s="446" t="s">
        <v>653</v>
      </c>
      <c r="H39" s="371">
        <v>0.02</v>
      </c>
      <c r="I39" s="365" t="s">
        <v>719</v>
      </c>
      <c r="J39" s="465">
        <v>70</v>
      </c>
      <c r="K39" s="474">
        <f>HLOOKUP(B10,'Database Corp.'!B148:N150,3,0)</f>
        <v>0</v>
      </c>
      <c r="L39" s="473">
        <f t="shared" si="7"/>
        <v>-70</v>
      </c>
      <c r="M39" s="366">
        <f t="shared" si="0"/>
        <v>0</v>
      </c>
      <c r="N39" s="591">
        <f t="shared" si="8"/>
        <v>0</v>
      </c>
      <c r="O39" s="914"/>
      <c r="P39" s="915"/>
      <c r="Q39" s="915"/>
      <c r="R39" s="916"/>
      <c r="S39" s="595"/>
    </row>
    <row r="40" spans="1:21" ht="42.75" customHeight="1" x14ac:dyDescent="0.25">
      <c r="A40" s="414" t="s">
        <v>674</v>
      </c>
      <c r="B40" s="848"/>
      <c r="C40" s="837"/>
      <c r="D40" s="455" t="s">
        <v>765</v>
      </c>
      <c r="E40" s="445" t="s">
        <v>764</v>
      </c>
      <c r="F40" s="446" t="s">
        <v>662</v>
      </c>
      <c r="G40" s="446" t="s">
        <v>653</v>
      </c>
      <c r="H40" s="371">
        <v>0.02</v>
      </c>
      <c r="I40" s="365" t="s">
        <v>719</v>
      </c>
      <c r="J40" s="465">
        <v>0</v>
      </c>
      <c r="K40" s="474">
        <f>HLOOKUP(B10,'Database Corp.'!B156:N158,3,0)</f>
        <v>0</v>
      </c>
      <c r="L40" s="473">
        <f t="shared" si="7"/>
        <v>0</v>
      </c>
      <c r="M40" s="366">
        <f t="shared" si="0"/>
        <v>1</v>
      </c>
      <c r="N40" s="591">
        <f t="shared" si="8"/>
        <v>0.02</v>
      </c>
      <c r="O40" s="914"/>
      <c r="P40" s="915"/>
      <c r="Q40" s="915"/>
      <c r="R40" s="916"/>
      <c r="S40" s="595"/>
    </row>
    <row r="41" spans="1:21" x14ac:dyDescent="0.25">
      <c r="B41" s="848"/>
      <c r="C41" s="849" t="s">
        <v>666</v>
      </c>
      <c r="D41" s="849"/>
      <c r="E41" s="849"/>
      <c r="F41" s="849"/>
      <c r="G41" s="849"/>
      <c r="H41" s="380">
        <f>SUM(H29:H40)</f>
        <v>0.30000000000000004</v>
      </c>
      <c r="I41" s="380"/>
      <c r="J41" s="381"/>
      <c r="K41" s="381"/>
      <c r="L41" s="381"/>
      <c r="M41" s="381"/>
      <c r="N41" s="591">
        <f>SUM(N29:N40)</f>
        <v>0.05</v>
      </c>
      <c r="O41" s="914"/>
      <c r="P41" s="915"/>
      <c r="Q41" s="915"/>
      <c r="R41" s="916"/>
      <c r="S41" s="595"/>
    </row>
    <row r="42" spans="1:21" s="448" customFormat="1" ht="45" customHeight="1" x14ac:dyDescent="0.25">
      <c r="B42" s="885" t="s">
        <v>676</v>
      </c>
      <c r="C42" s="840" t="s">
        <v>677</v>
      </c>
      <c r="D42" s="443" t="s">
        <v>678</v>
      </c>
      <c r="E42" s="475" t="s">
        <v>656</v>
      </c>
      <c r="F42" s="446" t="s">
        <v>652</v>
      </c>
      <c r="G42" s="446" t="s">
        <v>653</v>
      </c>
      <c r="H42" s="365">
        <v>0.02</v>
      </c>
      <c r="I42" s="365" t="s">
        <v>610</v>
      </c>
      <c r="J42" s="465">
        <v>16</v>
      </c>
      <c r="K42" s="465">
        <f>HLOOKUP(B10,'Database Corp.'!B95:N101,7,0)</f>
        <v>0</v>
      </c>
      <c r="L42" s="476">
        <f t="shared" ref="L42:L46" si="9">IF(F42="Maximize",K42-J42,IF(F42="Minimize",J42-K42,K42-J42))</f>
        <v>-16</v>
      </c>
      <c r="M42" s="366">
        <f t="shared" si="0"/>
        <v>0</v>
      </c>
      <c r="N42" s="591">
        <f>M42*H42</f>
        <v>0</v>
      </c>
      <c r="O42" s="914"/>
      <c r="P42" s="915"/>
      <c r="Q42" s="915"/>
      <c r="R42" s="916"/>
      <c r="S42" s="595"/>
      <c r="T42" s="361"/>
      <c r="U42" s="415"/>
    </row>
    <row r="43" spans="1:21" s="448" customFormat="1" ht="45" customHeight="1" x14ac:dyDescent="0.25">
      <c r="B43" s="885"/>
      <c r="C43" s="840"/>
      <c r="D43" s="449" t="s">
        <v>679</v>
      </c>
      <c r="E43" s="475" t="s">
        <v>656</v>
      </c>
      <c r="F43" s="446" t="s">
        <v>652</v>
      </c>
      <c r="G43" s="446" t="s">
        <v>653</v>
      </c>
      <c r="H43" s="371">
        <v>0.02</v>
      </c>
      <c r="I43" s="371" t="s">
        <v>727</v>
      </c>
      <c r="J43" s="376">
        <f>HLOOKUP(B10,'Database Corp.'!B70:N71,2,0)</f>
        <v>0.75</v>
      </c>
      <c r="K43" s="477">
        <f>HLOOKUP(B10,'Database Corp.'!B70:N72,3,0)</f>
        <v>0.75</v>
      </c>
      <c r="L43" s="478">
        <f t="shared" si="9"/>
        <v>0</v>
      </c>
      <c r="M43" s="366">
        <f t="shared" si="0"/>
        <v>0</v>
      </c>
      <c r="N43" s="591">
        <f t="shared" ref="N43:N44" si="10">M43*H43</f>
        <v>0</v>
      </c>
      <c r="O43" s="914"/>
      <c r="P43" s="915"/>
      <c r="Q43" s="915"/>
      <c r="R43" s="916"/>
      <c r="S43" s="595"/>
      <c r="T43" s="361"/>
      <c r="U43" s="415"/>
    </row>
    <row r="44" spans="1:21" s="448" customFormat="1" ht="45" customHeight="1" x14ac:dyDescent="0.25">
      <c r="B44" s="885"/>
      <c r="C44" s="840"/>
      <c r="D44" s="449" t="s">
        <v>766</v>
      </c>
      <c r="E44" s="475" t="s">
        <v>656</v>
      </c>
      <c r="F44" s="446" t="s">
        <v>662</v>
      </c>
      <c r="G44" s="446" t="s">
        <v>653</v>
      </c>
      <c r="H44" s="371">
        <v>0.02</v>
      </c>
      <c r="I44" s="371" t="s">
        <v>767</v>
      </c>
      <c r="J44" s="459">
        <f>HLOOKUP(B10,'Database Corp.'!B78:N79,2,0)</f>
        <v>0</v>
      </c>
      <c r="K44" s="479">
        <f>HLOOKUP(B10,'Database Corp.'!B78:N80,3,0)</f>
        <v>0</v>
      </c>
      <c r="L44" s="471">
        <f t="shared" si="9"/>
        <v>0</v>
      </c>
      <c r="M44" s="366">
        <f t="shared" si="0"/>
        <v>1</v>
      </c>
      <c r="N44" s="591">
        <f t="shared" si="10"/>
        <v>0.02</v>
      </c>
      <c r="O44" s="914"/>
      <c r="P44" s="915"/>
      <c r="Q44" s="915"/>
      <c r="R44" s="916"/>
      <c r="S44" s="595"/>
      <c r="T44" s="361"/>
      <c r="U44" s="415"/>
    </row>
    <row r="45" spans="1:21" s="448" customFormat="1" ht="45" customHeight="1" x14ac:dyDescent="0.25">
      <c r="B45" s="885"/>
      <c r="C45" s="840"/>
      <c r="D45" s="449" t="s">
        <v>768</v>
      </c>
      <c r="E45" s="475" t="s">
        <v>656</v>
      </c>
      <c r="F45" s="446" t="s">
        <v>652</v>
      </c>
      <c r="G45" s="446" t="s">
        <v>653</v>
      </c>
      <c r="H45" s="371">
        <v>0.02</v>
      </c>
      <c r="I45" s="371" t="s">
        <v>727</v>
      </c>
      <c r="J45" s="376">
        <v>1</v>
      </c>
      <c r="K45" s="477" t="e">
        <f>HLOOKUP(B10,'Database Corp.'!B162:N164,3,0)</f>
        <v>#DIV/0!</v>
      </c>
      <c r="L45" s="478" t="e">
        <f t="shared" si="9"/>
        <v>#DIV/0!</v>
      </c>
      <c r="M45" s="366">
        <f t="shared" si="0"/>
        <v>0</v>
      </c>
      <c r="N45" s="591">
        <f>M45*H45</f>
        <v>0</v>
      </c>
      <c r="O45" s="914"/>
      <c r="P45" s="915"/>
      <c r="Q45" s="915"/>
      <c r="R45" s="916"/>
      <c r="S45" s="595"/>
      <c r="T45" s="361"/>
      <c r="U45" s="415"/>
    </row>
    <row r="46" spans="1:21" s="448" customFormat="1" ht="45" customHeight="1" x14ac:dyDescent="0.25">
      <c r="B46" s="885"/>
      <c r="C46" s="834"/>
      <c r="D46" s="449" t="s">
        <v>769</v>
      </c>
      <c r="E46" s="475" t="s">
        <v>656</v>
      </c>
      <c r="F46" s="446" t="s">
        <v>652</v>
      </c>
      <c r="G46" s="446" t="s">
        <v>653</v>
      </c>
      <c r="H46" s="371">
        <v>0.02</v>
      </c>
      <c r="I46" s="371" t="s">
        <v>770</v>
      </c>
      <c r="J46" s="376">
        <v>1</v>
      </c>
      <c r="K46" s="477">
        <f>HLOOKUP(B10,'Database Corp.'!B168:N171,4,0)</f>
        <v>1</v>
      </c>
      <c r="L46" s="478">
        <f t="shared" si="9"/>
        <v>0</v>
      </c>
      <c r="M46" s="366">
        <f t="shared" si="0"/>
        <v>0</v>
      </c>
      <c r="N46" s="591">
        <f>M46*H46</f>
        <v>0</v>
      </c>
      <c r="O46" s="914"/>
      <c r="P46" s="915"/>
      <c r="Q46" s="915"/>
      <c r="R46" s="916"/>
      <c r="S46" s="595"/>
      <c r="T46" s="361"/>
      <c r="U46" s="415"/>
    </row>
    <row r="47" spans="1:21" s="448" customFormat="1" ht="45" customHeight="1" x14ac:dyDescent="0.25">
      <c r="B47" s="885"/>
      <c r="C47" s="833" t="s">
        <v>680</v>
      </c>
      <c r="D47" s="455" t="s">
        <v>771</v>
      </c>
      <c r="E47" s="475" t="s">
        <v>656</v>
      </c>
      <c r="F47" s="446" t="s">
        <v>652</v>
      </c>
      <c r="G47" s="446" t="s">
        <v>653</v>
      </c>
      <c r="H47" s="371">
        <v>0.02</v>
      </c>
      <c r="I47" s="480" t="s">
        <v>772</v>
      </c>
      <c r="J47" s="376">
        <v>1</v>
      </c>
      <c r="K47" s="477">
        <f>HLOOKUP(B10,'Database Corp.'!A174:N184,11,0)</f>
        <v>1.25</v>
      </c>
      <c r="L47" s="478">
        <f t="shared" si="7"/>
        <v>0.25</v>
      </c>
      <c r="M47" s="366">
        <f t="shared" si="0"/>
        <v>0</v>
      </c>
      <c r="N47" s="591">
        <f>M47*H47</f>
        <v>0</v>
      </c>
      <c r="O47" s="914"/>
      <c r="P47" s="915"/>
      <c r="Q47" s="915"/>
      <c r="R47" s="916"/>
      <c r="S47" s="595"/>
      <c r="T47" s="361"/>
      <c r="U47" s="415"/>
    </row>
    <row r="48" spans="1:21" s="448" customFormat="1" ht="45" customHeight="1" x14ac:dyDescent="0.25">
      <c r="B48" s="885"/>
      <c r="C48" s="834"/>
      <c r="D48" s="455" t="s">
        <v>773</v>
      </c>
      <c r="E48" s="475" t="s">
        <v>656</v>
      </c>
      <c r="F48" s="446" t="s">
        <v>662</v>
      </c>
      <c r="G48" s="446" t="s">
        <v>653</v>
      </c>
      <c r="H48" s="371">
        <v>0.02</v>
      </c>
      <c r="I48" s="371" t="s">
        <v>770</v>
      </c>
      <c r="J48" s="369">
        <f>HLOOKUP(B10,'Database Corp.'!B87:N88,2,0)</f>
        <v>0</v>
      </c>
      <c r="K48" s="473">
        <f>HLOOKUP(B10,'Database Corp.'!B87:N89,3,0)</f>
        <v>0</v>
      </c>
      <c r="L48" s="471">
        <f t="shared" si="7"/>
        <v>0</v>
      </c>
      <c r="M48" s="366">
        <f t="shared" si="0"/>
        <v>1</v>
      </c>
      <c r="N48" s="591">
        <f t="shared" ref="N48:N49" si="11">M48*H48</f>
        <v>0.02</v>
      </c>
      <c r="O48" s="914"/>
      <c r="P48" s="915"/>
      <c r="Q48" s="915"/>
      <c r="R48" s="916"/>
      <c r="S48" s="595"/>
      <c r="T48" s="361"/>
      <c r="U48" s="415"/>
    </row>
    <row r="49" spans="2:22" s="448" customFormat="1" ht="45" customHeight="1" x14ac:dyDescent="0.25">
      <c r="B49" s="885"/>
      <c r="C49" s="833" t="s">
        <v>681</v>
      </c>
      <c r="D49" s="455" t="s">
        <v>774</v>
      </c>
      <c r="E49" s="475" t="s">
        <v>656</v>
      </c>
      <c r="F49" s="446" t="s">
        <v>652</v>
      </c>
      <c r="G49" s="446" t="s">
        <v>653</v>
      </c>
      <c r="H49" s="371">
        <v>0.02</v>
      </c>
      <c r="I49" s="371" t="s">
        <v>727</v>
      </c>
      <c r="J49" s="376">
        <v>1</v>
      </c>
      <c r="K49" s="477">
        <f>HLOOKUP(B10,'Database Corp.'!A104:N108,4,0)</f>
        <v>0</v>
      </c>
      <c r="L49" s="471">
        <f t="shared" si="7"/>
        <v>-1</v>
      </c>
      <c r="M49" s="366">
        <f t="shared" si="0"/>
        <v>0</v>
      </c>
      <c r="N49" s="591">
        <f t="shared" si="11"/>
        <v>0</v>
      </c>
      <c r="O49" s="914"/>
      <c r="P49" s="915"/>
      <c r="Q49" s="915"/>
      <c r="R49" s="916"/>
      <c r="S49" s="595"/>
      <c r="T49" s="361"/>
      <c r="U49" s="415"/>
    </row>
    <row r="50" spans="2:22" s="448" customFormat="1" ht="45" customHeight="1" x14ac:dyDescent="0.25">
      <c r="B50" s="885"/>
      <c r="C50" s="840"/>
      <c r="D50" s="449" t="s">
        <v>775</v>
      </c>
      <c r="E50" s="475" t="s">
        <v>751</v>
      </c>
      <c r="F50" s="446" t="s">
        <v>652</v>
      </c>
      <c r="G50" s="446" t="s">
        <v>653</v>
      </c>
      <c r="H50" s="371">
        <v>0.02</v>
      </c>
      <c r="I50" s="371" t="s">
        <v>727</v>
      </c>
      <c r="J50" s="377">
        <f>HLOOKUP(B10,'[1]DB Dir Prod'!B111:N114,4,0)</f>
        <v>0.7</v>
      </c>
      <c r="K50" s="477">
        <f>HLOOKUP(B10,'Database Corp.'!B198:N200,3,0)</f>
        <v>0</v>
      </c>
      <c r="L50" s="481">
        <f t="shared" si="7"/>
        <v>-0.7</v>
      </c>
      <c r="M50" s="366">
        <f t="shared" si="0"/>
        <v>0</v>
      </c>
      <c r="N50" s="591">
        <f>M50*H50</f>
        <v>0</v>
      </c>
      <c r="O50" s="917"/>
      <c r="P50" s="918"/>
      <c r="Q50" s="918"/>
      <c r="R50" s="919"/>
      <c r="S50" s="595"/>
      <c r="T50" s="361"/>
      <c r="U50" s="415"/>
    </row>
    <row r="51" spans="2:22" ht="16.5" thickBot="1" x14ac:dyDescent="0.3">
      <c r="B51" s="886"/>
      <c r="C51" s="846" t="s">
        <v>682</v>
      </c>
      <c r="D51" s="846"/>
      <c r="E51" s="846"/>
      <c r="F51" s="846"/>
      <c r="G51" s="846"/>
      <c r="H51" s="382">
        <f>SUM(H42:H50)</f>
        <v>0.18</v>
      </c>
      <c r="I51" s="382"/>
      <c r="J51" s="383"/>
      <c r="K51" s="383"/>
      <c r="L51" s="383"/>
      <c r="M51" s="383"/>
      <c r="N51" s="384">
        <f>SUM(N42:N50)</f>
        <v>0.04</v>
      </c>
    </row>
    <row r="52" spans="2:22" s="385" customFormat="1" ht="16.5" thickBot="1" x14ac:dyDescent="0.3">
      <c r="B52" s="386"/>
      <c r="C52" s="847" t="s">
        <v>683</v>
      </c>
      <c r="D52" s="847"/>
      <c r="E52" s="847"/>
      <c r="F52" s="847"/>
      <c r="G52" s="847"/>
      <c r="H52" s="387">
        <f>SUM(H51,H41,H20,H28)</f>
        <v>1</v>
      </c>
      <c r="I52" s="387"/>
      <c r="J52" s="388"/>
      <c r="K52" s="874" t="s">
        <v>684</v>
      </c>
      <c r="L52" s="875"/>
      <c r="M52" s="876"/>
      <c r="N52" s="389">
        <f>SUM(N14:N19,N29:N40,N42:N50,N21:N27)</f>
        <v>0.1</v>
      </c>
      <c r="R52" s="390"/>
      <c r="S52" s="596"/>
      <c r="T52" s="361"/>
      <c r="U52" s="390"/>
    </row>
    <row r="53" spans="2:22" s="391" customFormat="1" ht="16.5" thickBot="1" x14ac:dyDescent="0.3">
      <c r="B53" s="392"/>
      <c r="C53" s="392"/>
      <c r="D53" s="392"/>
      <c r="E53" s="392"/>
      <c r="F53" s="393"/>
      <c r="G53" s="393"/>
      <c r="H53" s="394"/>
      <c r="I53" s="394"/>
      <c r="J53" s="395"/>
      <c r="K53" s="874" t="s">
        <v>685</v>
      </c>
      <c r="L53" s="875"/>
      <c r="M53" s="875"/>
      <c r="N53" s="396" t="str">
        <f>IF(AND(H52&gt;100%,H52,100%),"Error",IF(N52&gt;=$R$4,"Excellence",IF(AND(N52&lt;$R$5,N52&gt;=$Q$5),"Outstanding",IF(AND(N52&lt;$R$6,N52&gt;=$Q$6),"Meet Requirement",IF(AND(N52&lt;$R$7,N52&gt;=$Q$7),"Need Improvement",IF(N52&lt;$R$8,"Need Development"))))))</f>
        <v>Need Development</v>
      </c>
      <c r="R53" s="390"/>
      <c r="S53" s="596"/>
      <c r="T53" s="361"/>
      <c r="U53" s="390"/>
    </row>
    <row r="56" spans="2:22" ht="32.25" hidden="1" thickBot="1" x14ac:dyDescent="0.3">
      <c r="B56" s="483" t="s">
        <v>632</v>
      </c>
      <c r="C56" s="484" t="s">
        <v>633</v>
      </c>
      <c r="D56" s="484" t="s">
        <v>634</v>
      </c>
      <c r="E56" s="485" t="s">
        <v>635</v>
      </c>
      <c r="F56" s="485" t="s">
        <v>636</v>
      </c>
      <c r="G56" s="485" t="s">
        <v>637</v>
      </c>
      <c r="H56" s="486" t="s">
        <v>686</v>
      </c>
      <c r="I56" s="487"/>
      <c r="J56" s="487" t="s">
        <v>687</v>
      </c>
      <c r="K56" s="486" t="s">
        <v>688</v>
      </c>
      <c r="L56" s="486" t="s">
        <v>641</v>
      </c>
      <c r="M56" s="486" t="s">
        <v>689</v>
      </c>
      <c r="N56" s="486" t="s">
        <v>690</v>
      </c>
      <c r="R56" s="414"/>
      <c r="S56" s="414"/>
      <c r="V56" s="415"/>
    </row>
    <row r="57" spans="2:22" ht="16.5" hidden="1" thickBot="1" x14ac:dyDescent="0.3">
      <c r="B57" s="877" t="s">
        <v>691</v>
      </c>
      <c r="C57" s="878"/>
      <c r="D57" s="878"/>
      <c r="E57" s="878"/>
      <c r="F57" s="878"/>
      <c r="G57" s="878"/>
      <c r="H57" s="878"/>
      <c r="I57" s="878"/>
      <c r="J57" s="878"/>
      <c r="K57" s="878"/>
      <c r="L57" s="878"/>
      <c r="M57" s="878"/>
      <c r="N57" s="879"/>
      <c r="R57" s="414"/>
      <c r="S57" s="414"/>
      <c r="V57" s="415"/>
    </row>
    <row r="58" spans="2:22" s="448" customFormat="1" ht="31.5" hidden="1" x14ac:dyDescent="0.25">
      <c r="B58" s="488" t="s">
        <v>776</v>
      </c>
      <c r="C58" s="489" t="s">
        <v>650</v>
      </c>
      <c r="D58" s="490" t="s">
        <v>777</v>
      </c>
      <c r="E58" s="491" t="s">
        <v>718</v>
      </c>
      <c r="F58" s="492" t="s">
        <v>652</v>
      </c>
      <c r="G58" s="493" t="s">
        <v>653</v>
      </c>
      <c r="H58" s="494">
        <v>0.05</v>
      </c>
      <c r="I58" s="494"/>
      <c r="J58" s="495">
        <v>600</v>
      </c>
      <c r="K58" s="496">
        <v>450</v>
      </c>
      <c r="L58" s="497">
        <f t="shared" ref="L58" si="12">IF(F58="Maximize",K58-J58,IF(F58="Minimize",J58-K58,K58-J58))</f>
        <v>-150</v>
      </c>
      <c r="M58" s="397">
        <f t="shared" ref="M58:M60" si="13">IFERROR(IF(AND(F58="Maximize",G58="Unlock"),IF(((K58-J58)/ABS(J58))+1&lt;0,0,((K58-J58)/ABS(J58))+1),IF(AND(F58="Maximize",G58="Lock"),IF(((K58-J58)/ABS(J58))+1&lt;0,0,IF(((K58-J58)/ABS(J58))+1&gt;$N$4,$N$4,((K58-J58)/ABS(J58))+1)),IF(AND(F58="Minimize",G58="Unlock"),IF(((J58-K58)/ABS(J58))+1&lt;0,0,((J58-K58)/ABS(J58))+1),IF(AND(F58="Minimize",G58="Lock"),IF(((J58-K58)/ABS(J58))+1&lt;0,0,IF(((J58-K58)/ABS(J58))+1&gt;$N$4,$N$4,((J58-K58)/ABS(J58))+1)),IF(F58="Min To Zero",IF(K58&gt;J58,0,IF(K58&lt;J58,0,100%))))))),0)</f>
        <v>0</v>
      </c>
      <c r="N58" s="398">
        <f>M58*H58</f>
        <v>0</v>
      </c>
      <c r="T58" s="361"/>
      <c r="U58" s="415"/>
      <c r="V58" s="415"/>
    </row>
    <row r="59" spans="2:22" hidden="1" x14ac:dyDescent="0.25">
      <c r="B59" s="498"/>
      <c r="C59" s="499"/>
      <c r="D59" s="399"/>
      <c r="E59" s="399"/>
      <c r="F59" s="500"/>
      <c r="G59" s="446"/>
      <c r="H59" s="399"/>
      <c r="I59" s="399"/>
      <c r="J59" s="501"/>
      <c r="K59" s="502"/>
      <c r="L59" s="502"/>
      <c r="M59" s="400" t="b">
        <f t="shared" si="13"/>
        <v>0</v>
      </c>
      <c r="N59" s="401">
        <f>M59*H59</f>
        <v>0</v>
      </c>
      <c r="R59" s="414"/>
      <c r="S59" s="414"/>
      <c r="V59" s="415"/>
    </row>
    <row r="60" spans="2:22" ht="16.5" hidden="1" thickBot="1" x14ac:dyDescent="0.3">
      <c r="B60" s="503"/>
      <c r="C60" s="504"/>
      <c r="D60" s="402"/>
      <c r="E60" s="402"/>
      <c r="F60" s="505"/>
      <c r="G60" s="506"/>
      <c r="H60" s="402"/>
      <c r="I60" s="402"/>
      <c r="J60" s="403"/>
      <c r="K60" s="507"/>
      <c r="L60" s="507"/>
      <c r="M60" s="404" t="b">
        <f t="shared" si="13"/>
        <v>0</v>
      </c>
      <c r="N60" s="405">
        <f>M60*H60</f>
        <v>0</v>
      </c>
      <c r="R60" s="414"/>
      <c r="S60" s="414"/>
      <c r="V60" s="415"/>
    </row>
    <row r="61" spans="2:22" ht="16.5" hidden="1" thickBot="1" x14ac:dyDescent="0.3">
      <c r="B61" s="880" t="s">
        <v>692</v>
      </c>
      <c r="C61" s="881"/>
      <c r="D61" s="406"/>
      <c r="E61" s="407"/>
      <c r="F61" s="407"/>
      <c r="G61" s="407"/>
      <c r="H61" s="407">
        <f>SUM(H58:H60)</f>
        <v>0.05</v>
      </c>
      <c r="I61" s="407"/>
      <c r="J61" s="407"/>
      <c r="K61" s="880" t="s">
        <v>473</v>
      </c>
      <c r="L61" s="882"/>
      <c r="M61" s="881"/>
      <c r="N61" s="396">
        <f>SUM(N58:N60)+N52</f>
        <v>0.1</v>
      </c>
      <c r="R61" s="414"/>
      <c r="S61" s="414"/>
      <c r="V61" s="415"/>
    </row>
    <row r="62" spans="2:22" ht="16.5" hidden="1" thickBot="1" x14ac:dyDescent="0.3">
      <c r="B62" s="880" t="s">
        <v>693</v>
      </c>
      <c r="C62" s="881"/>
      <c r="D62" s="408"/>
      <c r="E62" s="409"/>
      <c r="F62" s="409"/>
      <c r="G62" s="409"/>
      <c r="H62" s="409">
        <f>SUM(H58:H60)</f>
        <v>0.05</v>
      </c>
      <c r="I62" s="409"/>
      <c r="J62" s="409"/>
      <c r="K62" s="880" t="s">
        <v>685</v>
      </c>
      <c r="L62" s="883"/>
      <c r="M62" s="884"/>
      <c r="N62" s="396" t="str">
        <f>IF(N61&gt;=N4,"HP",IF(AND(N61&lt;N5,N61&gt;=M5),"P",IF(AND(N61&lt;N6,N61&gt;=M6),"T",IF(AND(N61&lt;N7,N61&gt;=M7),"C",IF(N61&lt;N8,"U")))))</f>
        <v>HP</v>
      </c>
      <c r="R62" s="414"/>
      <c r="S62" s="414"/>
      <c r="V62" s="415"/>
    </row>
    <row r="63" spans="2:22" hidden="1" x14ac:dyDescent="0.25">
      <c r="T63" s="410"/>
    </row>
    <row r="64" spans="2:22" ht="16.5" hidden="1" thickBot="1" x14ac:dyDescent="0.3">
      <c r="B64" s="508" t="s">
        <v>694</v>
      </c>
      <c r="C64" s="508"/>
      <c r="D64" s="508"/>
      <c r="E64" s="508"/>
      <c r="F64" s="508"/>
      <c r="G64" s="508"/>
      <c r="H64" s="508"/>
      <c r="I64" s="508"/>
      <c r="J64" s="508"/>
      <c r="K64" s="508"/>
      <c r="L64" s="509"/>
      <c r="M64" s="509"/>
      <c r="N64" s="509"/>
      <c r="O64" s="509"/>
      <c r="P64" s="509"/>
      <c r="Q64" s="509"/>
      <c r="R64" s="509"/>
      <c r="S64" s="509"/>
      <c r="T64" s="411"/>
    </row>
    <row r="65" spans="2:21" hidden="1" x14ac:dyDescent="0.25">
      <c r="B65" s="842" t="s">
        <v>14</v>
      </c>
      <c r="C65" s="867" t="str">
        <f>B64</f>
        <v>KEY BEHAVIOR INDICATOR (BASED CHITOSE CORE VALUE)</v>
      </c>
      <c r="D65" s="867"/>
      <c r="E65" s="867"/>
      <c r="F65" s="867"/>
      <c r="G65" s="867"/>
      <c r="H65" s="867"/>
      <c r="I65" s="867"/>
      <c r="J65" s="867"/>
      <c r="K65" s="867"/>
      <c r="L65" s="867"/>
      <c r="M65" s="868"/>
      <c r="N65" s="871" t="s">
        <v>442</v>
      </c>
      <c r="O65" s="415"/>
      <c r="R65" s="414"/>
      <c r="S65" s="414"/>
      <c r="T65" s="411"/>
      <c r="U65" s="414"/>
    </row>
    <row r="66" spans="2:21" ht="16.5" hidden="1" thickBot="1" x14ac:dyDescent="0.3">
      <c r="B66" s="866"/>
      <c r="C66" s="869"/>
      <c r="D66" s="869"/>
      <c r="E66" s="869"/>
      <c r="F66" s="869"/>
      <c r="G66" s="869"/>
      <c r="H66" s="869"/>
      <c r="I66" s="869"/>
      <c r="J66" s="869"/>
      <c r="K66" s="869"/>
      <c r="L66" s="869"/>
      <c r="M66" s="870"/>
      <c r="N66" s="872"/>
      <c r="O66" s="415"/>
      <c r="R66" s="414"/>
      <c r="S66" s="414"/>
      <c r="T66" s="411"/>
      <c r="U66" s="414"/>
    </row>
    <row r="67" spans="2:21" hidden="1" x14ac:dyDescent="0.25">
      <c r="B67" s="510">
        <v>1</v>
      </c>
      <c r="C67" s="873" t="s">
        <v>695</v>
      </c>
      <c r="D67" s="873"/>
      <c r="E67" s="873"/>
      <c r="F67" s="873"/>
      <c r="G67" s="873"/>
      <c r="H67" s="873"/>
      <c r="I67" s="873"/>
      <c r="J67" s="873"/>
      <c r="K67" s="873"/>
      <c r="L67" s="873"/>
      <c r="M67" s="873"/>
      <c r="N67" s="511">
        <v>0</v>
      </c>
      <c r="O67" s="415"/>
      <c r="R67" s="414"/>
      <c r="S67" s="414"/>
      <c r="T67" s="411"/>
      <c r="U67" s="414"/>
    </row>
    <row r="68" spans="2:21" hidden="1" x14ac:dyDescent="0.25">
      <c r="B68" s="512">
        <v>2</v>
      </c>
      <c r="C68" s="859" t="s">
        <v>696</v>
      </c>
      <c r="D68" s="860"/>
      <c r="E68" s="860"/>
      <c r="F68" s="860"/>
      <c r="G68" s="860"/>
      <c r="H68" s="860"/>
      <c r="I68" s="860"/>
      <c r="J68" s="860"/>
      <c r="K68" s="860"/>
      <c r="L68" s="860"/>
      <c r="M68" s="860"/>
      <c r="N68" s="513">
        <v>0</v>
      </c>
      <c r="O68" s="415"/>
      <c r="R68" s="414"/>
      <c r="S68" s="414"/>
      <c r="T68" s="411"/>
      <c r="U68" s="414"/>
    </row>
    <row r="69" spans="2:21" hidden="1" x14ac:dyDescent="0.25">
      <c r="B69" s="512">
        <v>3</v>
      </c>
      <c r="C69" s="859" t="s">
        <v>697</v>
      </c>
      <c r="D69" s="859"/>
      <c r="E69" s="859"/>
      <c r="F69" s="859"/>
      <c r="G69" s="859"/>
      <c r="H69" s="859"/>
      <c r="I69" s="859"/>
      <c r="J69" s="859"/>
      <c r="K69" s="859"/>
      <c r="L69" s="859"/>
      <c r="M69" s="859"/>
      <c r="N69" s="513">
        <v>0</v>
      </c>
      <c r="O69" s="415"/>
      <c r="R69" s="414"/>
      <c r="S69" s="414"/>
      <c r="T69" s="411"/>
      <c r="U69" s="414"/>
    </row>
    <row r="70" spans="2:21" hidden="1" x14ac:dyDescent="0.25">
      <c r="B70" s="512">
        <v>4</v>
      </c>
      <c r="C70" s="859" t="s">
        <v>698</v>
      </c>
      <c r="D70" s="860"/>
      <c r="E70" s="860"/>
      <c r="F70" s="860"/>
      <c r="G70" s="860"/>
      <c r="H70" s="860"/>
      <c r="I70" s="860"/>
      <c r="J70" s="860"/>
      <c r="K70" s="860"/>
      <c r="L70" s="860"/>
      <c r="M70" s="860"/>
      <c r="N70" s="513">
        <v>0</v>
      </c>
      <c r="O70" s="415"/>
      <c r="R70" s="414"/>
      <c r="S70" s="414"/>
      <c r="T70" s="411"/>
      <c r="U70" s="414"/>
    </row>
    <row r="71" spans="2:21" ht="16.5" hidden="1" thickBot="1" x14ac:dyDescent="0.3">
      <c r="B71" s="514">
        <v>5</v>
      </c>
      <c r="C71" s="861" t="s">
        <v>699</v>
      </c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515">
        <v>0</v>
      </c>
      <c r="O71" s="415"/>
      <c r="R71" s="414"/>
      <c r="S71" s="414"/>
      <c r="T71" s="411"/>
      <c r="U71" s="414"/>
    </row>
    <row r="72" spans="2:21" ht="16.5" hidden="1" thickBot="1" x14ac:dyDescent="0.3">
      <c r="B72" s="863" t="s">
        <v>700</v>
      </c>
      <c r="C72" s="864"/>
      <c r="D72" s="864"/>
      <c r="E72" s="864"/>
      <c r="F72" s="864"/>
      <c r="G72" s="864"/>
      <c r="H72" s="864"/>
      <c r="I72" s="864"/>
      <c r="J72" s="864"/>
      <c r="K72" s="864"/>
      <c r="L72" s="864"/>
      <c r="M72" s="865"/>
      <c r="N72" s="516"/>
      <c r="O72" s="415"/>
      <c r="P72" s="415"/>
      <c r="R72" s="414"/>
      <c r="S72" s="414"/>
      <c r="T72" s="411"/>
      <c r="U72" s="414"/>
    </row>
    <row r="73" spans="2:21" ht="16.5" hidden="1" thickBot="1" x14ac:dyDescent="0.3">
      <c r="B73" s="517"/>
      <c r="C73" s="518"/>
      <c r="D73" s="519"/>
      <c r="E73" s="519"/>
      <c r="F73" s="520"/>
      <c r="G73" s="520"/>
      <c r="H73" s="520"/>
      <c r="I73" s="520"/>
      <c r="J73" s="520"/>
      <c r="K73" s="520"/>
      <c r="L73" s="520"/>
      <c r="M73" s="520" t="s">
        <v>701</v>
      </c>
      <c r="N73" s="521">
        <f>AVERAGE(N67:N72)</f>
        <v>0</v>
      </c>
      <c r="O73" s="415"/>
      <c r="P73" s="415"/>
      <c r="R73" s="414"/>
      <c r="S73" s="414"/>
      <c r="T73" s="412"/>
      <c r="U73" s="414"/>
    </row>
    <row r="74" spans="2:21" x14ac:dyDescent="0.25">
      <c r="B74" s="423"/>
      <c r="C74" s="423"/>
      <c r="D74" s="522"/>
      <c r="E74" s="522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4"/>
      <c r="R74" s="524"/>
      <c r="S74" s="524"/>
      <c r="T74" s="411"/>
    </row>
    <row r="75" spans="2:21" x14ac:dyDescent="0.25">
      <c r="B75" s="523"/>
      <c r="C75" s="442"/>
      <c r="D75" s="442"/>
      <c r="E75" s="442"/>
      <c r="F75" s="523"/>
      <c r="G75" s="523"/>
      <c r="H75" s="523"/>
      <c r="I75" s="523"/>
      <c r="J75" s="523"/>
      <c r="K75" s="523"/>
      <c r="L75" s="523"/>
      <c r="M75" s="523"/>
      <c r="N75" s="416"/>
      <c r="O75" s="416"/>
      <c r="P75" s="415"/>
      <c r="R75" s="414"/>
      <c r="S75" s="414"/>
      <c r="T75" s="411"/>
      <c r="U75" s="414"/>
    </row>
    <row r="76" spans="2:21" x14ac:dyDescent="0.25">
      <c r="B76" s="442"/>
      <c r="C76" s="442"/>
      <c r="D76" s="523"/>
      <c r="E76" s="523"/>
      <c r="F76" s="509"/>
      <c r="G76" s="509"/>
      <c r="H76" s="509"/>
      <c r="I76" s="509"/>
      <c r="J76" s="509"/>
      <c r="K76" s="509"/>
      <c r="L76" s="509"/>
      <c r="M76" s="509"/>
      <c r="N76" s="509"/>
      <c r="O76" s="509"/>
      <c r="P76" s="415"/>
      <c r="R76" s="414"/>
      <c r="S76" s="414"/>
      <c r="T76" s="413"/>
      <c r="U76" s="414"/>
    </row>
    <row r="77" spans="2:21" x14ac:dyDescent="0.25">
      <c r="B77" s="522"/>
      <c r="C77" s="522"/>
      <c r="D77" s="525"/>
      <c r="E77" s="525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5"/>
      <c r="Q77" s="522"/>
      <c r="R77" s="522"/>
      <c r="S77" s="522"/>
      <c r="T77" s="411"/>
    </row>
    <row r="78" spans="2:21" x14ac:dyDescent="0.25">
      <c r="T78" s="414"/>
    </row>
  </sheetData>
  <sheetProtection formatCells="0" formatColumns="0" insertRows="0" deleteRows="0"/>
  <mergeCells count="101">
    <mergeCell ref="O48:R48"/>
    <mergeCell ref="O49:R49"/>
    <mergeCell ref="O50:R50"/>
    <mergeCell ref="O40:R40"/>
    <mergeCell ref="O41:R41"/>
    <mergeCell ref="O42:R42"/>
    <mergeCell ref="O43:R43"/>
    <mergeCell ref="O44:R44"/>
    <mergeCell ref="O45:R45"/>
    <mergeCell ref="O46:R46"/>
    <mergeCell ref="O47:R47"/>
    <mergeCell ref="O38:R38"/>
    <mergeCell ref="O39:R39"/>
    <mergeCell ref="O34:R34"/>
    <mergeCell ref="O35:R35"/>
    <mergeCell ref="O24:R24"/>
    <mergeCell ref="O25:R25"/>
    <mergeCell ref="O26:R26"/>
    <mergeCell ref="O27:R27"/>
    <mergeCell ref="O28:R28"/>
    <mergeCell ref="O29:R29"/>
    <mergeCell ref="O30:R30"/>
    <mergeCell ref="O31:R31"/>
    <mergeCell ref="O32:R32"/>
    <mergeCell ref="O33:R33"/>
    <mergeCell ref="O6:P6"/>
    <mergeCell ref="C7:D7"/>
    <mergeCell ref="O7:P7"/>
    <mergeCell ref="C8:D8"/>
    <mergeCell ref="E8:G8"/>
    <mergeCell ref="I12:I13"/>
    <mergeCell ref="H8:K8"/>
    <mergeCell ref="O36:R36"/>
    <mergeCell ref="O37:R37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4:P4"/>
    <mergeCell ref="C5:D5"/>
    <mergeCell ref="C70:M70"/>
    <mergeCell ref="C71:M71"/>
    <mergeCell ref="B72:M72"/>
    <mergeCell ref="B65:B66"/>
    <mergeCell ref="C65:M66"/>
    <mergeCell ref="N65:N66"/>
    <mergeCell ref="C67:M67"/>
    <mergeCell ref="C68:M68"/>
    <mergeCell ref="C69:M69"/>
    <mergeCell ref="K52:M52"/>
    <mergeCell ref="K53:M53"/>
    <mergeCell ref="B57:N57"/>
    <mergeCell ref="B61:C61"/>
    <mergeCell ref="K61:M61"/>
    <mergeCell ref="B62:C62"/>
    <mergeCell ref="K62:M62"/>
    <mergeCell ref="B42:B51"/>
    <mergeCell ref="C42:C46"/>
    <mergeCell ref="O8:P8"/>
    <mergeCell ref="O12:R13"/>
    <mergeCell ref="O14:R14"/>
    <mergeCell ref="O5:P5"/>
    <mergeCell ref="C47:C48"/>
    <mergeCell ref="C49:C50"/>
    <mergeCell ref="C51:G51"/>
    <mergeCell ref="C52:G52"/>
    <mergeCell ref="B29:B41"/>
    <mergeCell ref="C29:C30"/>
    <mergeCell ref="C31:C33"/>
    <mergeCell ref="C34:C38"/>
    <mergeCell ref="C39:C40"/>
    <mergeCell ref="C41:G41"/>
    <mergeCell ref="B1:N2"/>
    <mergeCell ref="K3:N3"/>
    <mergeCell ref="B14:B20"/>
    <mergeCell ref="C15:C16"/>
    <mergeCell ref="C17:C19"/>
    <mergeCell ref="C20:G20"/>
    <mergeCell ref="B21:B28"/>
    <mergeCell ref="C21:C23"/>
    <mergeCell ref="C25:C27"/>
    <mergeCell ref="C28:G28"/>
    <mergeCell ref="B12:B13"/>
    <mergeCell ref="C12:C13"/>
    <mergeCell ref="D12:D13"/>
    <mergeCell ref="E12:E13"/>
    <mergeCell ref="F12:F13"/>
    <mergeCell ref="G12:G13"/>
    <mergeCell ref="C4:D4"/>
    <mergeCell ref="E4:G5"/>
    <mergeCell ref="H4:K5"/>
    <mergeCell ref="L4:N5"/>
    <mergeCell ref="C6:D6"/>
    <mergeCell ref="E6:G7"/>
    <mergeCell ref="H6:K7"/>
    <mergeCell ref="L6:N8"/>
  </mergeCells>
  <phoneticPr fontId="53" type="noConversion"/>
  <conditionalFormatting sqref="E9:E11">
    <cfRule type="containsText" dxfId="135" priority="76" operator="containsText" text="U">
      <formula>NOT(ISERROR(SEARCH("U",E9)))</formula>
    </cfRule>
    <cfRule type="containsText" dxfId="134" priority="77" operator="containsText" text="C">
      <formula>NOT(ISERROR(SEARCH("C",E9)))</formula>
    </cfRule>
    <cfRule type="containsText" dxfId="133" priority="78" operator="containsText" text="T">
      <formula>NOT(ISERROR(SEARCH("T",E9)))</formula>
    </cfRule>
    <cfRule type="containsText" dxfId="132" priority="79" operator="containsText" text="P">
      <formula>NOT(ISERROR(SEARCH("P",E9)))</formula>
    </cfRule>
    <cfRule type="containsText" dxfId="131" priority="80" operator="containsText" text="HP">
      <formula>NOT(ISERROR(SEARCH("HP",E9)))</formula>
    </cfRule>
  </conditionalFormatting>
  <conditionalFormatting sqref="H6">
    <cfRule type="cellIs" dxfId="130" priority="1" operator="greaterThan">
      <formula>1.25</formula>
    </cfRule>
    <cfRule type="cellIs" dxfId="129" priority="2" operator="equal">
      <formula>1.25</formula>
    </cfRule>
    <cfRule type="cellIs" dxfId="128" priority="3" operator="greaterThan">
      <formula>1.05</formula>
    </cfRule>
    <cfRule type="cellIs" dxfId="127" priority="4" operator="equal">
      <formula>1.05</formula>
    </cfRule>
    <cfRule type="cellIs" dxfId="126" priority="5" operator="greaterThan">
      <formula>0.95</formula>
    </cfRule>
    <cfRule type="cellIs" dxfId="125" priority="6" operator="equal">
      <formula>0.95</formula>
    </cfRule>
    <cfRule type="cellIs" dxfId="124" priority="7" operator="greaterThan">
      <formula>0.8</formula>
    </cfRule>
    <cfRule type="cellIs" dxfId="123" priority="8" operator="equal">
      <formula>0.8</formula>
    </cfRule>
    <cfRule type="cellIs" dxfId="122" priority="9" operator="lessThan">
      <formula>0.8</formula>
    </cfRule>
  </conditionalFormatting>
  <conditionalFormatting sqref="H8">
    <cfRule type="containsText" dxfId="121" priority="10" operator="containsText" text="Need Development">
      <formula>NOT(ISERROR(SEARCH("Need Development",H8)))</formula>
    </cfRule>
    <cfRule type="containsText" dxfId="120" priority="11" operator="containsText" text="Need Improvement">
      <formula>NOT(ISERROR(SEARCH("Need Improvement",H8)))</formula>
    </cfRule>
    <cfRule type="containsText" dxfId="119" priority="12" operator="containsText" text="Meet Requirement">
      <formula>NOT(ISERROR(SEARCH("Meet Requirement",H8)))</formula>
    </cfRule>
    <cfRule type="containsText" dxfId="118" priority="13" operator="containsText" text="Outstanding">
      <formula>NOT(ISERROR(SEARCH("Outstanding",H8)))</formula>
    </cfRule>
    <cfRule type="containsText" dxfId="117" priority="14" operator="containsText" text="Excellence">
      <formula>NOT(ISERROR(SEARCH("Excellence",H8)))</formula>
    </cfRule>
  </conditionalFormatting>
  <conditionalFormatting sqref="M14:M19">
    <cfRule type="cellIs" dxfId="116" priority="49" operator="greaterThan">
      <formula>1.25</formula>
    </cfRule>
    <cfRule type="cellIs" dxfId="115" priority="50" operator="equal">
      <formula>1.25</formula>
    </cfRule>
    <cfRule type="cellIs" dxfId="114" priority="51" operator="greaterThan">
      <formula>1.05</formula>
    </cfRule>
    <cfRule type="cellIs" dxfId="113" priority="52" operator="equal">
      <formula>1.05</formula>
    </cfRule>
    <cfRule type="cellIs" dxfId="112" priority="53" operator="greaterThan">
      <formula>0.95</formula>
    </cfRule>
    <cfRule type="cellIs" dxfId="111" priority="54" operator="equal">
      <formula>0.95</formula>
    </cfRule>
    <cfRule type="cellIs" dxfId="110" priority="55" operator="greaterThan">
      <formula>0.8</formula>
    </cfRule>
    <cfRule type="cellIs" dxfId="109" priority="56" operator="equal">
      <formula>0.8</formula>
    </cfRule>
    <cfRule type="cellIs" dxfId="108" priority="57" operator="lessThan">
      <formula>0.8</formula>
    </cfRule>
  </conditionalFormatting>
  <conditionalFormatting sqref="M21:M27">
    <cfRule type="cellIs" dxfId="107" priority="33" operator="greaterThan">
      <formula>1.25</formula>
    </cfRule>
    <cfRule type="cellIs" dxfId="106" priority="34" operator="equal">
      <formula>1.25</formula>
    </cfRule>
    <cfRule type="cellIs" dxfId="105" priority="35" operator="greaterThan">
      <formula>1.05</formula>
    </cfRule>
    <cfRule type="cellIs" dxfId="104" priority="36" operator="equal">
      <formula>1.05</formula>
    </cfRule>
    <cfRule type="cellIs" dxfId="103" priority="37" operator="greaterThan">
      <formula>0.95</formula>
    </cfRule>
    <cfRule type="cellIs" dxfId="102" priority="38" operator="equal">
      <formula>0.95</formula>
    </cfRule>
    <cfRule type="cellIs" dxfId="101" priority="39" operator="greaterThan">
      <formula>0.8</formula>
    </cfRule>
    <cfRule type="cellIs" dxfId="100" priority="40" operator="equal">
      <formula>0.8</formula>
    </cfRule>
    <cfRule type="cellIs" dxfId="99" priority="41" operator="lessThan">
      <formula>0.8</formula>
    </cfRule>
  </conditionalFormatting>
  <conditionalFormatting sqref="M25:M27">
    <cfRule type="cellIs" dxfId="98" priority="42" operator="greaterThan">
      <formula>1.25</formula>
    </cfRule>
    <cfRule type="cellIs" dxfId="97" priority="43" operator="equal">
      <formula>1.25</formula>
    </cfRule>
    <cfRule type="cellIs" dxfId="96" priority="44" operator="greaterThan">
      <formula>1.05</formula>
    </cfRule>
    <cfRule type="cellIs" dxfId="95" priority="45" operator="equal">
      <formula>1.05</formula>
    </cfRule>
    <cfRule type="cellIs" dxfId="94" priority="46" operator="greaterThan">
      <formula>0.95</formula>
    </cfRule>
    <cfRule type="cellIs" dxfId="93" priority="47" operator="equal">
      <formula>0.95</formula>
    </cfRule>
    <cfRule type="cellIs" dxfId="92" priority="48" operator="greaterThan">
      <formula>0.8</formula>
    </cfRule>
  </conditionalFormatting>
  <conditionalFormatting sqref="M29:M40">
    <cfRule type="cellIs" dxfId="91" priority="24" operator="greaterThan">
      <formula>1.25</formula>
    </cfRule>
    <cfRule type="cellIs" dxfId="90" priority="25" operator="equal">
      <formula>1.25</formula>
    </cfRule>
    <cfRule type="cellIs" dxfId="89" priority="26" operator="greaterThan">
      <formula>1.05</formula>
    </cfRule>
    <cfRule type="cellIs" dxfId="88" priority="27" operator="equal">
      <formula>1.05</formula>
    </cfRule>
    <cfRule type="cellIs" dxfId="87" priority="28" operator="greaterThan">
      <formula>0.95</formula>
    </cfRule>
    <cfRule type="cellIs" dxfId="86" priority="29" operator="equal">
      <formula>0.95</formula>
    </cfRule>
    <cfRule type="cellIs" dxfId="85" priority="30" operator="greaterThan">
      <formula>0.8</formula>
    </cfRule>
    <cfRule type="cellIs" dxfId="84" priority="31" operator="equal">
      <formula>0.8</formula>
    </cfRule>
    <cfRule type="cellIs" dxfId="83" priority="32" operator="lessThan">
      <formula>0.8</formula>
    </cfRule>
  </conditionalFormatting>
  <conditionalFormatting sqref="M42:M50">
    <cfRule type="cellIs" dxfId="82" priority="15" operator="greaterThan">
      <formula>1.25</formula>
    </cfRule>
    <cfRule type="cellIs" dxfId="81" priority="16" operator="equal">
      <formula>1.25</formula>
    </cfRule>
    <cfRule type="cellIs" dxfId="80" priority="17" operator="greaterThan">
      <formula>1.05</formula>
    </cfRule>
    <cfRule type="cellIs" dxfId="79" priority="18" operator="equal">
      <formula>1.05</formula>
    </cfRule>
    <cfRule type="cellIs" dxfId="78" priority="19" operator="greaterThan">
      <formula>0.95</formula>
    </cfRule>
    <cfRule type="cellIs" dxfId="77" priority="20" operator="equal">
      <formula>0.95</formula>
    </cfRule>
    <cfRule type="cellIs" dxfId="76" priority="21" operator="greaterThan">
      <formula>0.8</formula>
    </cfRule>
    <cfRule type="cellIs" dxfId="75" priority="22" operator="equal">
      <formula>0.8</formula>
    </cfRule>
    <cfRule type="cellIs" dxfId="74" priority="23" operator="lessThan">
      <formula>0.8</formula>
    </cfRule>
  </conditionalFormatting>
  <conditionalFormatting sqref="M58:M60">
    <cfRule type="cellIs" dxfId="73" priority="58" operator="greaterThan">
      <formula>1.25</formula>
    </cfRule>
    <cfRule type="cellIs" dxfId="72" priority="59" operator="equal">
      <formula>1.25</formula>
    </cfRule>
    <cfRule type="cellIs" dxfId="71" priority="60" operator="greaterThan">
      <formula>1.05</formula>
    </cfRule>
    <cfRule type="cellIs" dxfId="70" priority="61" operator="equal">
      <formula>1.05</formula>
    </cfRule>
    <cfRule type="cellIs" dxfId="69" priority="62" operator="greaterThan">
      <formula>0.95</formula>
    </cfRule>
    <cfRule type="cellIs" dxfId="68" priority="63" operator="equal">
      <formula>0.95</formula>
    </cfRule>
    <cfRule type="cellIs" dxfId="67" priority="64" operator="greaterThan">
      <formula>0.8</formula>
    </cfRule>
    <cfRule type="cellIs" dxfId="66" priority="65" operator="equal">
      <formula>0.8</formula>
    </cfRule>
    <cfRule type="cellIs" dxfId="65" priority="66" operator="lessThan">
      <formula>0.8</formula>
    </cfRule>
  </conditionalFormatting>
  <conditionalFormatting sqref="N56 N58:N60">
    <cfRule type="cellIs" dxfId="64" priority="81" stopIfTrue="1" operator="equal">
      <formula>"U"</formula>
    </cfRule>
    <cfRule type="cellIs" dxfId="63" priority="82" stopIfTrue="1" operator="equal">
      <formula>"HP"</formula>
    </cfRule>
    <cfRule type="cellIs" dxfId="62" priority="83" stopIfTrue="1" operator="equal">
      <formula>"P"</formula>
    </cfRule>
    <cfRule type="cellIs" dxfId="61" priority="84" stopIfTrue="1" operator="equal">
      <formula>"T"</formula>
    </cfRule>
    <cfRule type="cellIs" dxfId="60" priority="85" stopIfTrue="1" operator="equal">
      <formula>"C"</formula>
    </cfRule>
  </conditionalFormatting>
  <dataValidations count="5">
    <dataValidation type="list" allowBlank="1" showInputMessage="1" showErrorMessage="1" sqref="B11" xr:uid="{0D3D7D09-6716-42CD-BAB5-CF5897EC0196}">
      <formula1>$T$7:$T$17</formula1>
    </dataValidation>
    <dataValidation type="list" allowBlank="1" showInputMessage="1" showErrorMessage="1" sqref="F58:F60 F42:F50 F29:F40 F21:F27 F14:F19" xr:uid="{E797F8B9-6FE5-493C-9285-F677D37F095A}">
      <formula1>$U$8:$U$12</formula1>
    </dataValidation>
    <dataValidation type="list" allowBlank="1" showInputMessage="1" showErrorMessage="1" sqref="G14:G19 G42:G50 G29:G40 G21:G27 G58:G60" xr:uid="{8D7694F5-CF42-4CF7-9574-48CB88380828}">
      <formula1>$V$8:$V$9</formula1>
    </dataValidation>
    <dataValidation type="list" allowBlank="1" showInputMessage="1" showErrorMessage="1" sqref="B10" xr:uid="{38CA6244-068E-4DD1-A01F-3C98232C338E}">
      <formula1>$T$6:$T$17</formula1>
    </dataValidation>
    <dataValidation type="list" allowBlank="1" showInputMessage="1" showErrorMessage="1" sqref="H4:K5" xr:uid="{7CE7C567-1B96-4014-BA60-FD3E4AA6D0F4}">
      <formula1>$U$4:$U$5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62" max="12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169-347B-421C-91CE-C3C94F780116}">
  <dimension ref="A1:AC201"/>
  <sheetViews>
    <sheetView zoomScale="85" zoomScaleNormal="85" workbookViewId="0">
      <selection activeCell="E9" sqref="E9"/>
    </sheetView>
  </sheetViews>
  <sheetFormatPr defaultRowHeight="15" x14ac:dyDescent="0.25"/>
  <cols>
    <col min="1" max="1" width="35.140625" style="527" bestFit="1" customWidth="1"/>
    <col min="2" max="4" width="10.85546875" style="527" bestFit="1" customWidth="1"/>
    <col min="5" max="5" width="10.7109375" style="527" bestFit="1" customWidth="1"/>
    <col min="6" max="12" width="11.5703125" style="527" bestFit="1" customWidth="1"/>
    <col min="13" max="13" width="11.85546875" style="527" bestFit="1" customWidth="1"/>
    <col min="14" max="14" width="16.85546875" style="527" bestFit="1" customWidth="1"/>
    <col min="15" max="15" width="10.28515625" style="527" bestFit="1" customWidth="1"/>
    <col min="16" max="16" width="13.42578125" style="527" hidden="1" customWidth="1"/>
    <col min="17" max="28" width="0" style="527" hidden="1" customWidth="1"/>
    <col min="29" max="29" width="17" style="527" hidden="1" customWidth="1"/>
    <col min="30" max="30" width="0" style="527" hidden="1" customWidth="1"/>
    <col min="31" max="16384" width="9.140625" style="527"/>
  </cols>
  <sheetData>
    <row r="1" spans="1:17" x14ac:dyDescent="0.25">
      <c r="A1" s="526" t="s">
        <v>778</v>
      </c>
    </row>
    <row r="2" spans="1:17" x14ac:dyDescent="0.25">
      <c r="A2" s="528" t="s">
        <v>779</v>
      </c>
      <c r="B2" s="528" t="s">
        <v>704</v>
      </c>
      <c r="C2" s="528" t="s">
        <v>705</v>
      </c>
      <c r="D2" s="528" t="s">
        <v>706</v>
      </c>
      <c r="E2" s="528" t="s">
        <v>707</v>
      </c>
      <c r="F2" s="528" t="s">
        <v>709</v>
      </c>
      <c r="G2" s="528" t="s">
        <v>780</v>
      </c>
      <c r="H2" s="528" t="s">
        <v>711</v>
      </c>
      <c r="I2" s="528" t="s">
        <v>715</v>
      </c>
      <c r="J2" s="528" t="s">
        <v>717</v>
      </c>
      <c r="K2" s="528" t="s">
        <v>720</v>
      </c>
      <c r="L2" s="528" t="s">
        <v>723</v>
      </c>
      <c r="M2" s="528" t="s">
        <v>725</v>
      </c>
      <c r="N2" s="528" t="s">
        <v>728</v>
      </c>
      <c r="P2" s="529" t="s">
        <v>734</v>
      </c>
      <c r="Q2" s="529" t="s">
        <v>781</v>
      </c>
    </row>
    <row r="3" spans="1:17" x14ac:dyDescent="0.25">
      <c r="A3" s="528" t="s">
        <v>639</v>
      </c>
      <c r="B3" s="530">
        <v>26058.29752760828</v>
      </c>
      <c r="C3" s="530">
        <v>28212.386688081293</v>
      </c>
      <c r="D3" s="530">
        <v>25163.736051234326</v>
      </c>
      <c r="E3" s="530">
        <v>23163.627828312612</v>
      </c>
      <c r="F3" s="530">
        <v>29405.729159207258</v>
      </c>
      <c r="G3" s="530">
        <v>30698.651192968151</v>
      </c>
      <c r="H3" s="530">
        <v>31817.252237371911</v>
      </c>
      <c r="I3" s="530">
        <v>34581.50442295587</v>
      </c>
      <c r="J3" s="530">
        <v>35647.792308846241</v>
      </c>
      <c r="K3" s="530">
        <v>35022.717074480388</v>
      </c>
      <c r="L3" s="530">
        <v>37825.222695087934</v>
      </c>
      <c r="M3" s="530">
        <v>36295.407601188061</v>
      </c>
      <c r="N3" s="530">
        <f>SUM(B3:M3)</f>
        <v>373892.32478734234</v>
      </c>
      <c r="P3" s="531" t="s">
        <v>639</v>
      </c>
      <c r="Q3" s="532">
        <f>N3</f>
        <v>373892.32478734234</v>
      </c>
    </row>
    <row r="4" spans="1:17" x14ac:dyDescent="0.25">
      <c r="A4" s="528" t="s">
        <v>640</v>
      </c>
      <c r="B4" s="530"/>
      <c r="C4" s="530"/>
      <c r="D4" s="530"/>
      <c r="E4" s="530"/>
      <c r="F4" s="530"/>
      <c r="G4" s="533"/>
      <c r="H4" s="533"/>
      <c r="I4" s="533"/>
      <c r="J4" s="533"/>
      <c r="K4" s="533"/>
      <c r="L4" s="533"/>
      <c r="M4" s="533"/>
      <c r="N4" s="530">
        <f>SUM(B4:M4)</f>
        <v>0</v>
      </c>
      <c r="P4" s="526" t="s">
        <v>640</v>
      </c>
      <c r="Q4" s="532">
        <f>N4</f>
        <v>0</v>
      </c>
    </row>
    <row r="5" spans="1:17" x14ac:dyDescent="0.25">
      <c r="A5" s="528" t="s">
        <v>782</v>
      </c>
      <c r="B5" s="530">
        <f>B4</f>
        <v>0</v>
      </c>
      <c r="C5" s="530">
        <f>SUM($B$4:C$4)</f>
        <v>0</v>
      </c>
      <c r="D5" s="530">
        <f>SUM($B$4:D$4)</f>
        <v>0</v>
      </c>
      <c r="E5" s="530">
        <f>SUM($B$4:E$4)</f>
        <v>0</v>
      </c>
      <c r="F5" s="530">
        <f>SUM($B$4:F$4)</f>
        <v>0</v>
      </c>
      <c r="G5" s="530">
        <f>SUM($B$4:G$4)</f>
        <v>0</v>
      </c>
      <c r="H5" s="530">
        <f>SUM($B$4:H$4)</f>
        <v>0</v>
      </c>
      <c r="I5" s="530">
        <f>SUM($B$4:I$4)</f>
        <v>0</v>
      </c>
      <c r="J5" s="530">
        <f>SUM($B$4:J$4)</f>
        <v>0</v>
      </c>
      <c r="K5" s="530">
        <f>SUM($B$4:K$4)</f>
        <v>0</v>
      </c>
      <c r="L5" s="530">
        <f>SUM($B$4:L$4)</f>
        <v>0</v>
      </c>
      <c r="M5" s="530">
        <f>SUM($B$4:M$4)</f>
        <v>0</v>
      </c>
      <c r="N5" s="530">
        <f>M5</f>
        <v>0</v>
      </c>
    </row>
    <row r="6" spans="1:17" x14ac:dyDescent="0.25">
      <c r="A6" s="528" t="s">
        <v>783</v>
      </c>
      <c r="B6" s="534">
        <f>B4/B3</f>
        <v>0</v>
      </c>
      <c r="C6" s="534">
        <f t="shared" ref="C6:N6" si="0">C4/C3</f>
        <v>0</v>
      </c>
      <c r="D6" s="534">
        <f t="shared" si="0"/>
        <v>0</v>
      </c>
      <c r="E6" s="534">
        <f t="shared" si="0"/>
        <v>0</v>
      </c>
      <c r="F6" s="534">
        <f t="shared" si="0"/>
        <v>0</v>
      </c>
      <c r="G6" s="534">
        <f t="shared" si="0"/>
        <v>0</v>
      </c>
      <c r="H6" s="534">
        <f t="shared" si="0"/>
        <v>0</v>
      </c>
      <c r="I6" s="534">
        <f t="shared" si="0"/>
        <v>0</v>
      </c>
      <c r="J6" s="534">
        <f t="shared" si="0"/>
        <v>0</v>
      </c>
      <c r="K6" s="534">
        <f t="shared" si="0"/>
        <v>0</v>
      </c>
      <c r="L6" s="534">
        <f t="shared" si="0"/>
        <v>0</v>
      </c>
      <c r="M6" s="534">
        <f t="shared" si="0"/>
        <v>0</v>
      </c>
      <c r="N6" s="534">
        <f t="shared" si="0"/>
        <v>0</v>
      </c>
      <c r="P6" s="529" t="s">
        <v>734</v>
      </c>
      <c r="Q6" s="526" t="s">
        <v>727</v>
      </c>
    </row>
    <row r="7" spans="1:17" x14ac:dyDescent="0.25">
      <c r="A7" s="528" t="s">
        <v>784</v>
      </c>
      <c r="B7" s="534">
        <f>B4/B3</f>
        <v>0</v>
      </c>
      <c r="C7" s="534">
        <f>SUM($B$4:C$4)/SUM($B$3:C$3)</f>
        <v>0</v>
      </c>
      <c r="D7" s="534">
        <f>SUM($B$4:D$4)/SUM($B$3:D$3)</f>
        <v>0</v>
      </c>
      <c r="E7" s="534">
        <f>SUM($B$4:E$4)/SUM($B$3:E$3)</f>
        <v>0</v>
      </c>
      <c r="F7" s="534">
        <f>SUM($B$4:F$4)/SUM($B$3:F$3)</f>
        <v>0</v>
      </c>
      <c r="G7" s="534">
        <f>SUM($B$4:G$4)/SUM($B$3:G$3)</f>
        <v>0</v>
      </c>
      <c r="H7" s="534">
        <f>SUM($B$4:H$4)/SUM($B$3:H$3)</f>
        <v>0</v>
      </c>
      <c r="I7" s="534">
        <f>SUM($B$4:I$4)/SUM($B$3:I$3)</f>
        <v>0</v>
      </c>
      <c r="J7" s="534">
        <f>SUM($B$4:J$4)/SUM($B$3:J$3)</f>
        <v>0</v>
      </c>
      <c r="K7" s="534">
        <f>SUM($B$4:K$4)/SUM($B$3:K$3)</f>
        <v>0</v>
      </c>
      <c r="L7" s="534">
        <f>SUM($B$4:L$4)/SUM($B$3:L$3)</f>
        <v>0</v>
      </c>
      <c r="M7" s="534">
        <f>SUM($B$4:M$4)/SUM($B$3:M$3)</f>
        <v>0</v>
      </c>
      <c r="N7" s="534"/>
      <c r="O7" s="535"/>
      <c r="P7" s="531" t="s">
        <v>639</v>
      </c>
      <c r="Q7" s="535">
        <f>(Q3-Q4)/Q3</f>
        <v>1</v>
      </c>
    </row>
    <row r="8" spans="1:17" x14ac:dyDescent="0.25">
      <c r="A8" s="531" t="s">
        <v>785</v>
      </c>
      <c r="P8" s="526" t="s">
        <v>640</v>
      </c>
      <c r="Q8" s="535">
        <f>Q4/Q3</f>
        <v>0</v>
      </c>
    </row>
    <row r="10" spans="1:17" x14ac:dyDescent="0.25">
      <c r="A10" s="526" t="s">
        <v>778</v>
      </c>
    </row>
    <row r="11" spans="1:17" x14ac:dyDescent="0.25">
      <c r="A11" s="528" t="s">
        <v>655</v>
      </c>
      <c r="B11" s="528" t="s">
        <v>704</v>
      </c>
      <c r="C11" s="528" t="s">
        <v>705</v>
      </c>
      <c r="D11" s="528" t="s">
        <v>706</v>
      </c>
      <c r="E11" s="528" t="s">
        <v>707</v>
      </c>
      <c r="F11" s="528" t="s">
        <v>709</v>
      </c>
      <c r="G11" s="528" t="s">
        <v>780</v>
      </c>
      <c r="H11" s="528" t="s">
        <v>711</v>
      </c>
      <c r="I11" s="528" t="s">
        <v>715</v>
      </c>
      <c r="J11" s="528" t="s">
        <v>717</v>
      </c>
      <c r="K11" s="528" t="s">
        <v>720</v>
      </c>
      <c r="L11" s="528" t="s">
        <v>723</v>
      </c>
      <c r="M11" s="528" t="s">
        <v>725</v>
      </c>
      <c r="N11" s="528" t="s">
        <v>728</v>
      </c>
    </row>
    <row r="12" spans="1:17" x14ac:dyDescent="0.25">
      <c r="A12" s="528" t="s">
        <v>639</v>
      </c>
      <c r="B12" s="530">
        <v>3213.4273307366784</v>
      </c>
      <c r="C12" s="530">
        <v>4485.2358835750529</v>
      </c>
      <c r="D12" s="530">
        <v>3307.2196819310666</v>
      </c>
      <c r="E12" s="530">
        <v>3205.5656884037271</v>
      </c>
      <c r="F12" s="530">
        <v>5590.2001161060834</v>
      </c>
      <c r="G12" s="530">
        <v>5433.3530361109115</v>
      </c>
      <c r="H12" s="530">
        <v>5997.7752997688003</v>
      </c>
      <c r="I12" s="530">
        <v>6941.7737142382939</v>
      </c>
      <c r="J12" s="530">
        <v>6874.2095369709969</v>
      </c>
      <c r="K12" s="530">
        <v>7491.8508131784729</v>
      </c>
      <c r="L12" s="530">
        <v>7997.0439488773663</v>
      </c>
      <c r="M12" s="530">
        <v>7241.4384231202748</v>
      </c>
      <c r="N12" s="536">
        <f>SUM(B12:M12)</f>
        <v>67779.093473017725</v>
      </c>
    </row>
    <row r="13" spans="1:17" x14ac:dyDescent="0.25">
      <c r="A13" s="528" t="s">
        <v>640</v>
      </c>
      <c r="B13" s="530"/>
      <c r="C13" s="530"/>
      <c r="D13" s="530"/>
      <c r="E13" s="530"/>
      <c r="F13" s="530"/>
      <c r="G13" s="537"/>
      <c r="H13" s="537"/>
      <c r="I13" s="537"/>
      <c r="J13" s="537"/>
      <c r="K13" s="537"/>
      <c r="L13" s="537"/>
      <c r="M13" s="537"/>
      <c r="N13" s="536">
        <f>SUM(B13:M13)</f>
        <v>0</v>
      </c>
    </row>
    <row r="14" spans="1:17" x14ac:dyDescent="0.25">
      <c r="A14" s="528" t="s">
        <v>782</v>
      </c>
      <c r="B14" s="530">
        <f>B13</f>
        <v>0</v>
      </c>
      <c r="C14" s="530">
        <f>SUM($B$13:C$13)</f>
        <v>0</v>
      </c>
      <c r="D14" s="530">
        <f>SUM($B$13:D$13)</f>
        <v>0</v>
      </c>
      <c r="E14" s="530">
        <f>SUM($B$13:E$13)</f>
        <v>0</v>
      </c>
      <c r="F14" s="530">
        <f>SUM($B$13:F$13)</f>
        <v>0</v>
      </c>
      <c r="G14" s="530">
        <f>SUM($B$13:G$13)</f>
        <v>0</v>
      </c>
      <c r="H14" s="530">
        <f>SUM($B$13:H$13)</f>
        <v>0</v>
      </c>
      <c r="I14" s="530">
        <f>SUM($B$13:I$13)</f>
        <v>0</v>
      </c>
      <c r="J14" s="530">
        <f>SUM($B$13:J$13)</f>
        <v>0</v>
      </c>
      <c r="K14" s="530">
        <f>SUM($B$13:K$13)</f>
        <v>0</v>
      </c>
      <c r="L14" s="530">
        <f>SUM($B$13:L$13)</f>
        <v>0</v>
      </c>
      <c r="M14" s="530">
        <f>SUM($B$13:M$13)</f>
        <v>0</v>
      </c>
      <c r="N14" s="538"/>
    </row>
    <row r="15" spans="1:17" x14ac:dyDescent="0.25">
      <c r="A15" s="528" t="s">
        <v>786</v>
      </c>
      <c r="B15" s="534">
        <f>B13/B12</f>
        <v>0</v>
      </c>
      <c r="C15" s="534">
        <f t="shared" ref="C15:N15" si="1">C13/C12</f>
        <v>0</v>
      </c>
      <c r="D15" s="534">
        <f t="shared" si="1"/>
        <v>0</v>
      </c>
      <c r="E15" s="534">
        <f t="shared" si="1"/>
        <v>0</v>
      </c>
      <c r="F15" s="534">
        <f t="shared" si="1"/>
        <v>0</v>
      </c>
      <c r="G15" s="534">
        <f t="shared" si="1"/>
        <v>0</v>
      </c>
      <c r="H15" s="534">
        <f t="shared" si="1"/>
        <v>0</v>
      </c>
      <c r="I15" s="534">
        <f t="shared" si="1"/>
        <v>0</v>
      </c>
      <c r="J15" s="534">
        <f t="shared" si="1"/>
        <v>0</v>
      </c>
      <c r="K15" s="534">
        <f t="shared" si="1"/>
        <v>0</v>
      </c>
      <c r="L15" s="534">
        <f t="shared" si="1"/>
        <v>0</v>
      </c>
      <c r="M15" s="534">
        <f t="shared" si="1"/>
        <v>0</v>
      </c>
      <c r="N15" s="534">
        <f t="shared" si="1"/>
        <v>0</v>
      </c>
    </row>
    <row r="16" spans="1:17" x14ac:dyDescent="0.25">
      <c r="A16" s="528" t="s">
        <v>784</v>
      </c>
      <c r="B16" s="534">
        <f>B13/N12</f>
        <v>0</v>
      </c>
      <c r="C16" s="534">
        <f>SUM($B$13:C$13)/$N$12</f>
        <v>0</v>
      </c>
      <c r="D16" s="534">
        <f>SUM($B$13:D$13)/$N$12</f>
        <v>0</v>
      </c>
      <c r="E16" s="534">
        <f>SUM($B$13:E$13)/$N$12</f>
        <v>0</v>
      </c>
      <c r="F16" s="534">
        <f>SUM($B$13:F$13)/$N$12</f>
        <v>0</v>
      </c>
      <c r="G16" s="534">
        <f>SUM($B$13:G$13)/$N$12</f>
        <v>0</v>
      </c>
      <c r="H16" s="534">
        <f>SUM($B$13:H$13)/$N$12</f>
        <v>0</v>
      </c>
      <c r="I16" s="534">
        <f>SUM($B$13:I$13)/$N$12</f>
        <v>0</v>
      </c>
      <c r="J16" s="534">
        <f>SUM($B$13:J$13)/$N$12</f>
        <v>0</v>
      </c>
      <c r="K16" s="534">
        <f>SUM($B$13:K$13)/$N$12</f>
        <v>0</v>
      </c>
      <c r="L16" s="534">
        <f>SUM($B$13:L$13)/$N$12</f>
        <v>0</v>
      </c>
      <c r="M16" s="534">
        <f>SUM($B$13:M$13)/$N$12</f>
        <v>0</v>
      </c>
      <c r="N16" s="534"/>
    </row>
    <row r="17" spans="1:29" x14ac:dyDescent="0.25">
      <c r="A17" s="531" t="s">
        <v>787</v>
      </c>
    </row>
    <row r="19" spans="1:29" x14ac:dyDescent="0.25">
      <c r="A19" s="526" t="s">
        <v>778</v>
      </c>
      <c r="N19" s="527">
        <v>19042000</v>
      </c>
    </row>
    <row r="20" spans="1:29" x14ac:dyDescent="0.25">
      <c r="A20" s="528" t="s">
        <v>788</v>
      </c>
      <c r="B20" s="528" t="s">
        <v>704</v>
      </c>
      <c r="C20" s="528" t="s">
        <v>705</v>
      </c>
      <c r="D20" s="528" t="s">
        <v>706</v>
      </c>
      <c r="E20" s="528" t="s">
        <v>707</v>
      </c>
      <c r="F20" s="528" t="s">
        <v>709</v>
      </c>
      <c r="G20" s="528" t="s">
        <v>780</v>
      </c>
      <c r="H20" s="528" t="s">
        <v>711</v>
      </c>
      <c r="I20" s="528" t="s">
        <v>715</v>
      </c>
      <c r="J20" s="528" t="s">
        <v>717</v>
      </c>
      <c r="K20" s="528" t="s">
        <v>720</v>
      </c>
      <c r="L20" s="528" t="s">
        <v>723</v>
      </c>
      <c r="M20" s="528" t="s">
        <v>725</v>
      </c>
      <c r="N20" s="528" t="s">
        <v>728</v>
      </c>
    </row>
    <row r="21" spans="1:29" x14ac:dyDescent="0.25">
      <c r="A21" s="528" t="s">
        <v>639</v>
      </c>
      <c r="B21" s="530">
        <v>-1982.6573263405703</v>
      </c>
      <c r="C21" s="530">
        <v>-494.73719735604499</v>
      </c>
      <c r="D21" s="530">
        <v>-716.64721252972208</v>
      </c>
      <c r="E21" s="530">
        <v>-1344.8821665240389</v>
      </c>
      <c r="F21" s="530">
        <v>7911.7640814054803</v>
      </c>
      <c r="G21" s="530">
        <v>1167.527179645497</v>
      </c>
      <c r="H21" s="530">
        <v>1103.0887759411071</v>
      </c>
      <c r="I21" s="530">
        <v>2586.4189717063041</v>
      </c>
      <c r="J21" s="530">
        <v>2233.464080156089</v>
      </c>
      <c r="K21" s="530">
        <v>2744.6376512037491</v>
      </c>
      <c r="L21" s="530">
        <v>3293.1640612100268</v>
      </c>
      <c r="M21" s="530">
        <v>2959.4763622225055</v>
      </c>
      <c r="N21" s="530">
        <f>SUM(B21:M21)</f>
        <v>19460.617260740386</v>
      </c>
    </row>
    <row r="22" spans="1:29" x14ac:dyDescent="0.25">
      <c r="A22" s="528" t="s">
        <v>640</v>
      </c>
      <c r="B22" s="530"/>
      <c r="C22" s="530"/>
      <c r="D22" s="530"/>
      <c r="E22" s="530"/>
      <c r="F22" s="530"/>
      <c r="G22" s="530"/>
      <c r="H22" s="537"/>
      <c r="I22" s="537"/>
      <c r="J22" s="537"/>
      <c r="K22" s="537"/>
      <c r="L22" s="537"/>
      <c r="M22" s="537"/>
      <c r="N22" s="530">
        <f>SUM(B22:M22)</f>
        <v>0</v>
      </c>
    </row>
    <row r="23" spans="1:29" x14ac:dyDescent="0.25">
      <c r="A23" s="528" t="s">
        <v>782</v>
      </c>
      <c r="B23" s="530">
        <f>B22</f>
        <v>0</v>
      </c>
      <c r="C23" s="530">
        <f>SUM($B$22:C$22)</f>
        <v>0</v>
      </c>
      <c r="D23" s="530">
        <f>SUM($B$22:D$22)</f>
        <v>0</v>
      </c>
      <c r="E23" s="530">
        <f>SUM($B$22:E$22)</f>
        <v>0</v>
      </c>
      <c r="F23" s="530">
        <f>SUM($B$22:F$22)</f>
        <v>0</v>
      </c>
      <c r="G23" s="530">
        <f>SUM($B$22:G$22)</f>
        <v>0</v>
      </c>
      <c r="H23" s="530">
        <f>SUM($B$22:H$22)</f>
        <v>0</v>
      </c>
      <c r="I23" s="530">
        <f>SUM($B$22:I$22)</f>
        <v>0</v>
      </c>
      <c r="J23" s="530">
        <f>SUM($B$22:J$22)</f>
        <v>0</v>
      </c>
      <c r="K23" s="530">
        <f>SUM($B$22:K$22)</f>
        <v>0</v>
      </c>
      <c r="L23" s="530">
        <f>SUM($B$22:L$22)</f>
        <v>0</v>
      </c>
      <c r="M23" s="530">
        <f>SUM($B$22:M$22)</f>
        <v>0</v>
      </c>
      <c r="N23" s="530"/>
    </row>
    <row r="24" spans="1:29" x14ac:dyDescent="0.25">
      <c r="A24" s="528" t="s">
        <v>783</v>
      </c>
      <c r="B24" s="534">
        <f>B22/B21</f>
        <v>0</v>
      </c>
      <c r="C24" s="534">
        <f t="shared" ref="C24:N24" si="2">C22/C21</f>
        <v>0</v>
      </c>
      <c r="D24" s="534">
        <f t="shared" si="2"/>
        <v>0</v>
      </c>
      <c r="E24" s="534">
        <f t="shared" si="2"/>
        <v>0</v>
      </c>
      <c r="F24" s="534">
        <f t="shared" si="2"/>
        <v>0</v>
      </c>
      <c r="G24" s="534">
        <f t="shared" si="2"/>
        <v>0</v>
      </c>
      <c r="H24" s="534">
        <f t="shared" si="2"/>
        <v>0</v>
      </c>
      <c r="I24" s="534">
        <f t="shared" si="2"/>
        <v>0</v>
      </c>
      <c r="J24" s="534">
        <f t="shared" si="2"/>
        <v>0</v>
      </c>
      <c r="K24" s="534">
        <f t="shared" si="2"/>
        <v>0</v>
      </c>
      <c r="L24" s="534">
        <f t="shared" si="2"/>
        <v>0</v>
      </c>
      <c r="M24" s="534">
        <f t="shared" si="2"/>
        <v>0</v>
      </c>
      <c r="N24" s="534">
        <f t="shared" si="2"/>
        <v>0</v>
      </c>
    </row>
    <row r="25" spans="1:29" x14ac:dyDescent="0.25">
      <c r="A25" s="528" t="s">
        <v>784</v>
      </c>
      <c r="B25" s="534">
        <f>SUM($B$22:B$22)/SUM($B$21:B$21)</f>
        <v>0</v>
      </c>
      <c r="C25" s="534">
        <f>SUM($B$22:C$22)/SUM($B$21:C$21)</f>
        <v>0</v>
      </c>
      <c r="D25" s="534">
        <f>SUM($B$22:D$22)/SUM($B$21:D$21)</f>
        <v>0</v>
      </c>
      <c r="E25" s="534">
        <f>SUM($B$22:E$22)/SUM($B$21:E$21)</f>
        <v>0</v>
      </c>
      <c r="F25" s="534">
        <f>SUM($B$22:F$22)/SUM($B$21:F$21)</f>
        <v>0</v>
      </c>
      <c r="G25" s="534">
        <f>SUM($B$22:G$22)/SUM($B$21:G$21)</f>
        <v>0</v>
      </c>
      <c r="H25" s="534">
        <f>SUM($B$22:H$22)/SUM($B$21:H$21)</f>
        <v>0</v>
      </c>
      <c r="I25" s="534">
        <f>SUM($B$22:I$22)/SUM($B$21:I$21)</f>
        <v>0</v>
      </c>
      <c r="J25" s="534">
        <f>SUM($B$22:J$22)/SUM($B$21:J$21)</f>
        <v>0</v>
      </c>
      <c r="K25" s="534">
        <f>SUM($B$22:K$22)/SUM($B$21:K$21)</f>
        <v>0</v>
      </c>
      <c r="L25" s="534">
        <f>SUM($B$22:L$22)/SUM($B$21:L$21)</f>
        <v>0</v>
      </c>
      <c r="M25" s="534">
        <f>SUM($B$22:M$22)/SUM($B$21:M$21)</f>
        <v>0</v>
      </c>
      <c r="N25" s="534"/>
    </row>
    <row r="26" spans="1:29" x14ac:dyDescent="0.25">
      <c r="A26" s="531" t="s">
        <v>787</v>
      </c>
    </row>
    <row r="28" spans="1:29" x14ac:dyDescent="0.25">
      <c r="A28" s="526" t="s">
        <v>778</v>
      </c>
    </row>
    <row r="29" spans="1:29" x14ac:dyDescent="0.25">
      <c r="A29" s="528" t="s">
        <v>789</v>
      </c>
      <c r="B29" s="528" t="s">
        <v>704</v>
      </c>
      <c r="C29" s="528" t="s">
        <v>705</v>
      </c>
      <c r="D29" s="528" t="s">
        <v>706</v>
      </c>
      <c r="E29" s="528" t="s">
        <v>707</v>
      </c>
      <c r="F29" s="528" t="s">
        <v>709</v>
      </c>
      <c r="G29" s="528" t="s">
        <v>780</v>
      </c>
      <c r="H29" s="528" t="s">
        <v>711</v>
      </c>
      <c r="I29" s="528" t="s">
        <v>715</v>
      </c>
      <c r="J29" s="528" t="s">
        <v>717</v>
      </c>
      <c r="K29" s="528" t="s">
        <v>720</v>
      </c>
      <c r="L29" s="528" t="s">
        <v>723</v>
      </c>
      <c r="M29" s="528" t="s">
        <v>725</v>
      </c>
      <c r="N29" s="528" t="s">
        <v>728</v>
      </c>
      <c r="P29" s="529" t="s">
        <v>790</v>
      </c>
      <c r="Q29" s="528" t="s">
        <v>704</v>
      </c>
      <c r="R29" s="528" t="s">
        <v>705</v>
      </c>
      <c r="S29" s="528" t="s">
        <v>706</v>
      </c>
      <c r="T29" s="528" t="s">
        <v>707</v>
      </c>
      <c r="U29" s="528" t="s">
        <v>709</v>
      </c>
      <c r="V29" s="528" t="s">
        <v>780</v>
      </c>
      <c r="W29" s="528" t="s">
        <v>711</v>
      </c>
      <c r="X29" s="528" t="s">
        <v>715</v>
      </c>
      <c r="Y29" s="528" t="s">
        <v>717</v>
      </c>
      <c r="Z29" s="528" t="s">
        <v>720</v>
      </c>
      <c r="AA29" s="528" t="s">
        <v>723</v>
      </c>
      <c r="AB29" s="528" t="s">
        <v>725</v>
      </c>
      <c r="AC29" s="528" t="s">
        <v>728</v>
      </c>
    </row>
    <row r="30" spans="1:29" x14ac:dyDescent="0.25">
      <c r="A30" s="528" t="s">
        <v>639</v>
      </c>
      <c r="B30" s="539">
        <v>7.4999999999999997E-2</v>
      </c>
      <c r="C30" s="539">
        <v>7.4999999999999997E-2</v>
      </c>
      <c r="D30" s="539">
        <v>7.4999999999999997E-2</v>
      </c>
      <c r="E30" s="539">
        <v>7.4999999999999997E-2</v>
      </c>
      <c r="F30" s="539">
        <v>7.4999999999999997E-2</v>
      </c>
      <c r="G30" s="539">
        <v>7.4999999999999997E-2</v>
      </c>
      <c r="H30" s="539">
        <v>7.4999999999999997E-2</v>
      </c>
      <c r="I30" s="539">
        <v>7.4999999999999997E-2</v>
      </c>
      <c r="J30" s="539">
        <v>7.4999999999999997E-2</v>
      </c>
      <c r="K30" s="539">
        <v>7.4999999999999997E-2</v>
      </c>
      <c r="L30" s="539">
        <v>7.4999999999999997E-2</v>
      </c>
      <c r="M30" s="539">
        <v>7.4999999999999997E-2</v>
      </c>
      <c r="N30" s="539">
        <f>AVERAGE(B30:M30)</f>
        <v>7.4999999999999983E-2</v>
      </c>
      <c r="P30" s="527" t="s">
        <v>791</v>
      </c>
      <c r="Q30" s="540">
        <f>'[1]DB SLS &amp; MKT'!B40</f>
        <v>5.5E-2</v>
      </c>
      <c r="R30" s="540">
        <f>'[1]DB SLS &amp; MKT'!C40</f>
        <v>0.03</v>
      </c>
      <c r="S30" s="540">
        <f>'[1]DB SLS &amp; MKT'!D40</f>
        <v>5.4999999999999993E-2</v>
      </c>
      <c r="T30" s="540">
        <f>'[1]DB SLS &amp; MKT'!E40</f>
        <v>5.2499999999999998E-2</v>
      </c>
      <c r="U30" s="540">
        <f>'[1]DB SLS &amp; MKT'!F40</f>
        <v>5.5E-2</v>
      </c>
      <c r="V30" s="540">
        <f>'[1]DB SLS &amp; MKT'!G40</f>
        <v>5.5000000000000007E-2</v>
      </c>
      <c r="W30" s="540">
        <f>'[1]DB SLS &amp; MKT'!H40</f>
        <v>6.7500000000000004E-2</v>
      </c>
      <c r="X30" s="540">
        <f>'[1]DB SLS &amp; MKT'!I40</f>
        <v>0.04</v>
      </c>
      <c r="Y30" s="540">
        <f>'[1]DB SLS &amp; MKT'!J40</f>
        <v>4.2499999999999996E-2</v>
      </c>
      <c r="Z30" s="540">
        <f>'[1]DB SLS &amp; MKT'!K40</f>
        <v>3.7499999999999999E-2</v>
      </c>
      <c r="AA30" s="540">
        <f>'[1]DB SLS &amp; MKT'!L40</f>
        <v>4.4999999999999998E-2</v>
      </c>
      <c r="AB30" s="540">
        <f>'[1]DB SLS &amp; MKT'!M40</f>
        <v>3.3750000000000002E-2</v>
      </c>
      <c r="AC30" s="540">
        <f>'[1]DB SLS &amp; MKT'!N40</f>
        <v>4.7395833333333325E-2</v>
      </c>
    </row>
    <row r="31" spans="1:29" x14ac:dyDescent="0.25">
      <c r="A31" s="528" t="s">
        <v>640</v>
      </c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P31" s="527" t="s">
        <v>792</v>
      </c>
      <c r="Q31" s="540">
        <f>'[1]DB BusDev'!B31</f>
        <v>3.5000000000000003E-2</v>
      </c>
      <c r="R31" s="540">
        <f>'[1]DB BusDev'!C31</f>
        <v>3.5000000000000003E-2</v>
      </c>
      <c r="S31" s="540">
        <f>'[1]DB BusDev'!D31</f>
        <v>0.06</v>
      </c>
      <c r="T31" s="540">
        <f>'[1]DB BusDev'!E31</f>
        <v>0.04</v>
      </c>
      <c r="U31" s="540">
        <f>'[1]DB BusDev'!F31</f>
        <v>0.04</v>
      </c>
      <c r="V31" s="540">
        <f>'[1]DB BusDev'!G31</f>
        <v>4.7500000000000001E-2</v>
      </c>
      <c r="W31" s="540">
        <f>'[1]DB BusDev'!H31</f>
        <v>0.02</v>
      </c>
      <c r="X31" s="540">
        <f>'[1]DB BusDev'!I31</f>
        <v>4.5000000000000005E-2</v>
      </c>
      <c r="Y31" s="540">
        <f>'[1]DB BusDev'!J31</f>
        <v>3.0000000000000002E-2</v>
      </c>
      <c r="Z31" s="540">
        <f>'[1]DB BusDev'!K31</f>
        <v>5.5E-2</v>
      </c>
      <c r="AA31" s="540">
        <f>'[1]DB BusDev'!L31</f>
        <v>4.4999999999999998E-2</v>
      </c>
      <c r="AB31" s="540">
        <f>'[1]DB BusDev'!M31</f>
        <v>5.7499999999999996E-2</v>
      </c>
      <c r="AC31" s="540">
        <f>'[1]DB BusDev'!N31</f>
        <v>4.2500000000000003E-2</v>
      </c>
    </row>
    <row r="32" spans="1:29" x14ac:dyDescent="0.25">
      <c r="A32" s="528" t="s">
        <v>783</v>
      </c>
      <c r="B32" s="534">
        <f t="shared" ref="B32:N32" si="3">((B30-B31)/B30)+1</f>
        <v>2</v>
      </c>
      <c r="C32" s="534">
        <f t="shared" si="3"/>
        <v>2</v>
      </c>
      <c r="D32" s="534">
        <f t="shared" si="3"/>
        <v>2</v>
      </c>
      <c r="E32" s="534">
        <f t="shared" si="3"/>
        <v>2</v>
      </c>
      <c r="F32" s="534">
        <f t="shared" si="3"/>
        <v>2</v>
      </c>
      <c r="G32" s="534">
        <f t="shared" si="3"/>
        <v>2</v>
      </c>
      <c r="H32" s="534">
        <f t="shared" si="3"/>
        <v>2</v>
      </c>
      <c r="I32" s="534">
        <f t="shared" si="3"/>
        <v>2</v>
      </c>
      <c r="J32" s="534">
        <f t="shared" si="3"/>
        <v>2</v>
      </c>
      <c r="K32" s="534">
        <f t="shared" si="3"/>
        <v>2</v>
      </c>
      <c r="L32" s="534">
        <f t="shared" si="3"/>
        <v>2</v>
      </c>
      <c r="M32" s="534">
        <f t="shared" si="3"/>
        <v>2</v>
      </c>
      <c r="N32" s="534">
        <f t="shared" si="3"/>
        <v>2</v>
      </c>
      <c r="P32" s="527" t="s">
        <v>793</v>
      </c>
      <c r="Q32" s="540">
        <f>AVERAGE(Q30:Q31)</f>
        <v>4.4999999999999998E-2</v>
      </c>
      <c r="R32" s="540">
        <f t="shared" ref="R32:AC32" si="4">AVERAGE(R30:R31)</f>
        <v>3.2500000000000001E-2</v>
      </c>
      <c r="S32" s="540">
        <f t="shared" si="4"/>
        <v>5.7499999999999996E-2</v>
      </c>
      <c r="T32" s="540">
        <f t="shared" si="4"/>
        <v>4.6249999999999999E-2</v>
      </c>
      <c r="U32" s="540">
        <f t="shared" si="4"/>
        <v>4.7500000000000001E-2</v>
      </c>
      <c r="V32" s="540">
        <f t="shared" si="4"/>
        <v>5.1250000000000004E-2</v>
      </c>
      <c r="W32" s="540">
        <f t="shared" si="4"/>
        <v>4.3750000000000004E-2</v>
      </c>
      <c r="X32" s="540">
        <f t="shared" si="4"/>
        <v>4.2500000000000003E-2</v>
      </c>
      <c r="Y32" s="540">
        <f t="shared" si="4"/>
        <v>3.6249999999999998E-2</v>
      </c>
      <c r="Z32" s="540">
        <f t="shared" si="4"/>
        <v>4.6249999999999999E-2</v>
      </c>
      <c r="AA32" s="540">
        <f t="shared" si="4"/>
        <v>4.4999999999999998E-2</v>
      </c>
      <c r="AB32" s="540">
        <f t="shared" si="4"/>
        <v>4.5624999999999999E-2</v>
      </c>
      <c r="AC32" s="540">
        <f t="shared" si="4"/>
        <v>4.4947916666666664E-2</v>
      </c>
    </row>
    <row r="33" spans="1:29" x14ac:dyDescent="0.25">
      <c r="A33" s="528" t="s">
        <v>784</v>
      </c>
      <c r="B33" s="534" t="e">
        <f>B30/B31</f>
        <v>#DIV/0!</v>
      </c>
      <c r="C33" s="534" t="e">
        <f t="shared" ref="C33:M33" si="5">C30/C31</f>
        <v>#DIV/0!</v>
      </c>
      <c r="D33" s="534" t="e">
        <f t="shared" si="5"/>
        <v>#DIV/0!</v>
      </c>
      <c r="E33" s="534" t="e">
        <f t="shared" si="5"/>
        <v>#DIV/0!</v>
      </c>
      <c r="F33" s="534" t="e">
        <f t="shared" si="5"/>
        <v>#DIV/0!</v>
      </c>
      <c r="G33" s="534" t="e">
        <f t="shared" si="5"/>
        <v>#DIV/0!</v>
      </c>
      <c r="H33" s="534" t="e">
        <f t="shared" si="5"/>
        <v>#DIV/0!</v>
      </c>
      <c r="I33" s="534" t="e">
        <f t="shared" si="5"/>
        <v>#DIV/0!</v>
      </c>
      <c r="J33" s="534" t="e">
        <f t="shared" si="5"/>
        <v>#DIV/0!</v>
      </c>
      <c r="K33" s="534" t="e">
        <f t="shared" si="5"/>
        <v>#DIV/0!</v>
      </c>
      <c r="L33" s="534" t="e">
        <f t="shared" si="5"/>
        <v>#DIV/0!</v>
      </c>
      <c r="M33" s="534" t="e">
        <f t="shared" si="5"/>
        <v>#DIV/0!</v>
      </c>
      <c r="N33" s="534"/>
    </row>
    <row r="34" spans="1:29" x14ac:dyDescent="0.25">
      <c r="A34" s="541"/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</row>
    <row r="36" spans="1:29" x14ac:dyDescent="0.25">
      <c r="A36" s="526"/>
    </row>
    <row r="37" spans="1:29" x14ac:dyDescent="0.25">
      <c r="A37" s="528" t="s">
        <v>794</v>
      </c>
      <c r="B37" s="528" t="s">
        <v>704</v>
      </c>
      <c r="C37" s="528" t="s">
        <v>705</v>
      </c>
      <c r="D37" s="528" t="s">
        <v>706</v>
      </c>
      <c r="E37" s="528" t="s">
        <v>707</v>
      </c>
      <c r="F37" s="528" t="s">
        <v>709</v>
      </c>
      <c r="G37" s="528" t="s">
        <v>780</v>
      </c>
      <c r="H37" s="528" t="s">
        <v>711</v>
      </c>
      <c r="I37" s="528" t="s">
        <v>715</v>
      </c>
      <c r="J37" s="528" t="s">
        <v>717</v>
      </c>
      <c r="K37" s="528" t="s">
        <v>720</v>
      </c>
      <c r="L37" s="528" t="s">
        <v>723</v>
      </c>
      <c r="M37" s="528" t="s">
        <v>725</v>
      </c>
      <c r="N37" s="528" t="s">
        <v>728</v>
      </c>
      <c r="P37" s="529" t="s">
        <v>790</v>
      </c>
      <c r="Q37" s="528" t="s">
        <v>704</v>
      </c>
      <c r="R37" s="528" t="s">
        <v>705</v>
      </c>
      <c r="S37" s="528" t="s">
        <v>706</v>
      </c>
      <c r="T37" s="528" t="s">
        <v>707</v>
      </c>
      <c r="U37" s="528" t="s">
        <v>709</v>
      </c>
      <c r="V37" s="528" t="s">
        <v>780</v>
      </c>
      <c r="W37" s="528" t="s">
        <v>711</v>
      </c>
      <c r="X37" s="528" t="s">
        <v>715</v>
      </c>
      <c r="Y37" s="528" t="s">
        <v>717</v>
      </c>
      <c r="Z37" s="528" t="s">
        <v>720</v>
      </c>
      <c r="AA37" s="528" t="s">
        <v>723</v>
      </c>
      <c r="AB37" s="528" t="s">
        <v>725</v>
      </c>
      <c r="AC37" s="528" t="s">
        <v>728</v>
      </c>
    </row>
    <row r="38" spans="1:29" x14ac:dyDescent="0.25">
      <c r="A38" s="528" t="s">
        <v>639</v>
      </c>
      <c r="B38" s="534">
        <v>0.95</v>
      </c>
      <c r="C38" s="534">
        <v>0.95</v>
      </c>
      <c r="D38" s="534">
        <v>0.95</v>
      </c>
      <c r="E38" s="534">
        <v>0.95</v>
      </c>
      <c r="F38" s="534">
        <v>0.95</v>
      </c>
      <c r="G38" s="534">
        <v>0.95</v>
      </c>
      <c r="H38" s="534">
        <v>0.95</v>
      </c>
      <c r="I38" s="534">
        <v>0.95</v>
      </c>
      <c r="J38" s="534">
        <v>0.95</v>
      </c>
      <c r="K38" s="534">
        <v>0.95</v>
      </c>
      <c r="L38" s="534">
        <v>0.95</v>
      </c>
      <c r="M38" s="534">
        <v>0.95</v>
      </c>
      <c r="N38" s="534">
        <f>AVERAGE(B38:M38)</f>
        <v>0.94999999999999984</v>
      </c>
      <c r="P38" s="527" t="s">
        <v>795</v>
      </c>
      <c r="Q38" s="543">
        <f>'[1]DB Dir Adm'!B22</f>
        <v>0.9</v>
      </c>
      <c r="R38" s="543">
        <f>'[1]DB Dir Adm'!C22</f>
        <v>0.9</v>
      </c>
      <c r="S38" s="543">
        <f>'[1]DB Dir Adm'!D22</f>
        <v>0.88000000000000012</v>
      </c>
      <c r="T38" s="543">
        <f>'[1]DB Dir Adm'!E22</f>
        <v>0.9</v>
      </c>
      <c r="U38" s="543">
        <f>'[1]DB Dir Adm'!F22</f>
        <v>0.9</v>
      </c>
      <c r="V38" s="543">
        <f>'[1]DB Dir Adm'!G22</f>
        <v>0.9</v>
      </c>
      <c r="W38" s="543">
        <f>'[1]DB Dir Adm'!H22</f>
        <v>0.9</v>
      </c>
      <c r="X38" s="543">
        <f>'[1]DB Dir Adm'!I22</f>
        <v>0.9</v>
      </c>
      <c r="Y38" s="543">
        <f>'[1]DB Dir Adm'!J22</f>
        <v>0.9</v>
      </c>
      <c r="Z38" s="543">
        <f>'[1]DB Dir Adm'!K22</f>
        <v>0.9</v>
      </c>
      <c r="AA38" s="543">
        <f>'[1]DB Dir Adm'!L22</f>
        <v>0.9</v>
      </c>
      <c r="AB38" s="543">
        <f>'[1]DB Dir Adm'!M22</f>
        <v>0.9</v>
      </c>
      <c r="AC38" s="543">
        <f>'[1]DB Dir Adm'!N22</f>
        <v>0.89833333333333354</v>
      </c>
    </row>
    <row r="39" spans="1:29" x14ac:dyDescent="0.25">
      <c r="A39" s="528" t="s">
        <v>640</v>
      </c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 t="e">
        <f>AVERAGE(B39:M39)</f>
        <v>#DIV/0!</v>
      </c>
      <c r="P39" s="527" t="s">
        <v>791</v>
      </c>
      <c r="Q39" s="543">
        <f>'[1]DB SLS &amp; MKT'!B48</f>
        <v>0.95</v>
      </c>
      <c r="R39" s="543">
        <f>'[1]DB SLS &amp; MKT'!C48</f>
        <v>0.95</v>
      </c>
      <c r="S39" s="543">
        <f>'[1]DB SLS &amp; MKT'!D48</f>
        <v>0.95</v>
      </c>
      <c r="T39" s="543">
        <f>'[1]DB SLS &amp; MKT'!E48</f>
        <v>0.95</v>
      </c>
      <c r="U39" s="543">
        <f>'[1]DB SLS &amp; MKT'!F48</f>
        <v>0.95</v>
      </c>
      <c r="V39" s="543">
        <f>'[1]DB SLS &amp; MKT'!G48</f>
        <v>0.95</v>
      </c>
      <c r="W39" s="543">
        <f>'[1]DB SLS &amp; MKT'!H48</f>
        <v>0.95</v>
      </c>
      <c r="X39" s="543">
        <f>'[1]DB SLS &amp; MKT'!I48</f>
        <v>0.95</v>
      </c>
      <c r="Y39" s="543">
        <f>'[1]DB SLS &amp; MKT'!J48</f>
        <v>0.95</v>
      </c>
      <c r="Z39" s="543">
        <f>'[1]DB SLS &amp; MKT'!K48</f>
        <v>0.95</v>
      </c>
      <c r="AA39" s="543">
        <f>'[1]DB SLS &amp; MKT'!L48</f>
        <v>0.95</v>
      </c>
      <c r="AB39" s="543">
        <f>'[1]DB SLS &amp; MKT'!M48</f>
        <v>0.95</v>
      </c>
      <c r="AC39" s="543">
        <f>'[1]DB SLS &amp; MKT'!N48</f>
        <v>0.94999999999999984</v>
      </c>
    </row>
    <row r="40" spans="1:29" x14ac:dyDescent="0.25">
      <c r="A40" s="528" t="s">
        <v>796</v>
      </c>
      <c r="B40" s="534" t="e">
        <f>B38/B39</f>
        <v>#DIV/0!</v>
      </c>
      <c r="C40" s="534" t="e">
        <f t="shared" ref="C40:M40" si="6">C38/C39</f>
        <v>#DIV/0!</v>
      </c>
      <c r="D40" s="534" t="e">
        <f t="shared" si="6"/>
        <v>#DIV/0!</v>
      </c>
      <c r="E40" s="534" t="e">
        <f t="shared" si="6"/>
        <v>#DIV/0!</v>
      </c>
      <c r="F40" s="534" t="e">
        <f t="shared" si="6"/>
        <v>#DIV/0!</v>
      </c>
      <c r="G40" s="534" t="e">
        <f t="shared" si="6"/>
        <v>#DIV/0!</v>
      </c>
      <c r="H40" s="534" t="e">
        <f t="shared" si="6"/>
        <v>#DIV/0!</v>
      </c>
      <c r="I40" s="534" t="e">
        <f t="shared" si="6"/>
        <v>#DIV/0!</v>
      </c>
      <c r="J40" s="534" t="e">
        <f t="shared" si="6"/>
        <v>#DIV/0!</v>
      </c>
      <c r="K40" s="534" t="e">
        <f t="shared" si="6"/>
        <v>#DIV/0!</v>
      </c>
      <c r="L40" s="534" t="e">
        <f t="shared" si="6"/>
        <v>#DIV/0!</v>
      </c>
      <c r="M40" s="534" t="e">
        <f t="shared" si="6"/>
        <v>#DIV/0!</v>
      </c>
      <c r="N40" s="534"/>
      <c r="P40" s="527" t="s">
        <v>792</v>
      </c>
      <c r="Q40" s="543">
        <f>'[1]DB BusDev'!B39</f>
        <v>0.95</v>
      </c>
      <c r="R40" s="543">
        <f>'[1]DB BusDev'!C39</f>
        <v>0.95</v>
      </c>
      <c r="S40" s="543">
        <f>'[1]DB BusDev'!D39</f>
        <v>0.95</v>
      </c>
      <c r="T40" s="543">
        <f>'[1]DB BusDev'!E39</f>
        <v>0.95</v>
      </c>
      <c r="U40" s="543">
        <f>'[1]DB BusDev'!F39</f>
        <v>0.95</v>
      </c>
      <c r="V40" s="543">
        <f>'[1]DB BusDev'!G39</f>
        <v>0.95</v>
      </c>
      <c r="W40" s="543">
        <f>'[1]DB BusDev'!H39</f>
        <v>0.95</v>
      </c>
      <c r="X40" s="543">
        <f>'[1]DB BusDev'!I39</f>
        <v>0.95</v>
      </c>
      <c r="Y40" s="543">
        <f>'[1]DB BusDev'!J39</f>
        <v>0.95</v>
      </c>
      <c r="Z40" s="543">
        <f>'[1]DB BusDev'!K39</f>
        <v>0.95</v>
      </c>
      <c r="AA40" s="543">
        <f>'[1]DB BusDev'!L39</f>
        <v>0.95</v>
      </c>
      <c r="AB40" s="543">
        <f>'[1]DB BusDev'!M39</f>
        <v>0.95</v>
      </c>
      <c r="AC40" s="543">
        <f>'[1]DB BusDev'!N39</f>
        <v>0.94999999999999984</v>
      </c>
    </row>
    <row r="41" spans="1:29" x14ac:dyDescent="0.25">
      <c r="P41" s="527" t="s">
        <v>797</v>
      </c>
      <c r="Q41" s="543">
        <f>'[1]DB Dir Prod'!B22</f>
        <v>0.95</v>
      </c>
      <c r="R41" s="543">
        <f>'[1]DB Dir Prod'!C22</f>
        <v>0.95</v>
      </c>
      <c r="S41" s="543">
        <f>'[1]DB Dir Prod'!D22</f>
        <v>0.95</v>
      </c>
      <c r="T41" s="543">
        <f>'[1]DB Dir Prod'!E22</f>
        <v>0.95</v>
      </c>
      <c r="U41" s="543">
        <f>'[1]DB Dir Prod'!F22</f>
        <v>0.95</v>
      </c>
      <c r="V41" s="543">
        <f>'[1]DB Dir Prod'!G22</f>
        <v>0.95</v>
      </c>
      <c r="W41" s="543">
        <f>'[1]DB Dir Prod'!H22</f>
        <v>0.95</v>
      </c>
      <c r="X41" s="543">
        <f>'[1]DB Dir Prod'!I22</f>
        <v>0.95</v>
      </c>
      <c r="Y41" s="543">
        <f>'[1]DB Dir Prod'!J22</f>
        <v>0.95</v>
      </c>
      <c r="Z41" s="543">
        <f>'[1]DB Dir Prod'!K22</f>
        <v>0.95</v>
      </c>
      <c r="AA41" s="543">
        <f>'[1]DB Dir Prod'!L22</f>
        <v>0.95</v>
      </c>
      <c r="AB41" s="543">
        <f>'[1]DB Dir Prod'!M22</f>
        <v>0.95</v>
      </c>
      <c r="AC41" s="543">
        <f>'[1]DB Dir Prod'!N22</f>
        <v>0.94999999999999984</v>
      </c>
    </row>
    <row r="42" spans="1:29" x14ac:dyDescent="0.25">
      <c r="P42" s="527" t="s">
        <v>793</v>
      </c>
      <c r="Q42" s="543">
        <f>AVERAGE(Q38:Q41)</f>
        <v>0.9375</v>
      </c>
      <c r="R42" s="543">
        <f t="shared" ref="R42:AC42" si="7">AVERAGE(R38:R41)</f>
        <v>0.9375</v>
      </c>
      <c r="S42" s="543">
        <f t="shared" si="7"/>
        <v>0.93250000000000011</v>
      </c>
      <c r="T42" s="543">
        <f t="shared" si="7"/>
        <v>0.9375</v>
      </c>
      <c r="U42" s="543">
        <f t="shared" si="7"/>
        <v>0.9375</v>
      </c>
      <c r="V42" s="543">
        <f t="shared" si="7"/>
        <v>0.9375</v>
      </c>
      <c r="W42" s="543">
        <f t="shared" si="7"/>
        <v>0.9375</v>
      </c>
      <c r="X42" s="543">
        <f t="shared" si="7"/>
        <v>0.9375</v>
      </c>
      <c r="Y42" s="543">
        <f t="shared" si="7"/>
        <v>0.9375</v>
      </c>
      <c r="Z42" s="543">
        <f t="shared" si="7"/>
        <v>0.9375</v>
      </c>
      <c r="AA42" s="543">
        <f t="shared" si="7"/>
        <v>0.9375</v>
      </c>
      <c r="AB42" s="543">
        <f t="shared" si="7"/>
        <v>0.9375</v>
      </c>
      <c r="AC42" s="543">
        <f t="shared" si="7"/>
        <v>0.93708333333333327</v>
      </c>
    </row>
    <row r="43" spans="1:29" x14ac:dyDescent="0.25">
      <c r="A43" s="526" t="s">
        <v>778</v>
      </c>
    </row>
    <row r="44" spans="1:29" x14ac:dyDescent="0.25">
      <c r="A44" s="528" t="s">
        <v>798</v>
      </c>
      <c r="B44" s="528" t="s">
        <v>704</v>
      </c>
      <c r="C44" s="528" t="s">
        <v>705</v>
      </c>
      <c r="D44" s="528" t="s">
        <v>706</v>
      </c>
      <c r="E44" s="528" t="s">
        <v>707</v>
      </c>
      <c r="F44" s="528" t="s">
        <v>709</v>
      </c>
      <c r="G44" s="528" t="s">
        <v>780</v>
      </c>
      <c r="H44" s="528" t="s">
        <v>711</v>
      </c>
      <c r="I44" s="528" t="s">
        <v>715</v>
      </c>
      <c r="J44" s="528" t="s">
        <v>717</v>
      </c>
      <c r="K44" s="528" t="s">
        <v>720</v>
      </c>
      <c r="L44" s="528" t="s">
        <v>723</v>
      </c>
      <c r="M44" s="528" t="s">
        <v>725</v>
      </c>
      <c r="N44" s="528" t="s">
        <v>728</v>
      </c>
      <c r="P44" s="529" t="s">
        <v>790</v>
      </c>
      <c r="Q44" s="528" t="s">
        <v>704</v>
      </c>
      <c r="R44" s="528" t="s">
        <v>705</v>
      </c>
      <c r="S44" s="528" t="s">
        <v>706</v>
      </c>
      <c r="T44" s="528" t="s">
        <v>707</v>
      </c>
      <c r="U44" s="528" t="s">
        <v>709</v>
      </c>
      <c r="V44" s="528" t="s">
        <v>780</v>
      </c>
      <c r="W44" s="528" t="s">
        <v>711</v>
      </c>
      <c r="X44" s="528" t="s">
        <v>715</v>
      </c>
      <c r="Y44" s="528" t="s">
        <v>717</v>
      </c>
      <c r="Z44" s="528" t="s">
        <v>720</v>
      </c>
      <c r="AA44" s="528" t="s">
        <v>723</v>
      </c>
      <c r="AB44" s="528" t="s">
        <v>725</v>
      </c>
      <c r="AC44" s="528" t="s">
        <v>728</v>
      </c>
    </row>
    <row r="45" spans="1:29" x14ac:dyDescent="0.25">
      <c r="A45" s="528" t="s">
        <v>639</v>
      </c>
      <c r="B45" s="539">
        <v>1.2E-2</v>
      </c>
      <c r="C45" s="539">
        <v>1.2E-2</v>
      </c>
      <c r="D45" s="539">
        <v>1.2E-2</v>
      </c>
      <c r="E45" s="539">
        <v>1.2E-2</v>
      </c>
      <c r="F45" s="539">
        <v>1.2E-2</v>
      </c>
      <c r="G45" s="539">
        <v>1.2E-2</v>
      </c>
      <c r="H45" s="539">
        <v>1.2E-2</v>
      </c>
      <c r="I45" s="539">
        <v>1.2E-2</v>
      </c>
      <c r="J45" s="539">
        <v>1.2E-2</v>
      </c>
      <c r="K45" s="539">
        <v>1.2E-2</v>
      </c>
      <c r="L45" s="539">
        <v>1.2E-2</v>
      </c>
      <c r="M45" s="539">
        <v>1.2E-2</v>
      </c>
      <c r="N45" s="539">
        <f>AVERAGE(B45:M45)</f>
        <v>1.1999999999999999E-2</v>
      </c>
      <c r="P45" s="527" t="s">
        <v>791</v>
      </c>
      <c r="Q45" s="544">
        <f>'[1]DB SLS &amp; MKT'!B56</f>
        <v>1.2E-2</v>
      </c>
      <c r="R45" s="544">
        <f>'[1]DB SLS &amp; MKT'!C56</f>
        <v>1.0999999999999999E-2</v>
      </c>
      <c r="S45" s="544">
        <f>'[1]DB SLS &amp; MKT'!D56</f>
        <v>1.2999999999999999E-2</v>
      </c>
      <c r="T45" s="544">
        <f>'[1]DB SLS &amp; MKT'!E56</f>
        <v>0.01</v>
      </c>
      <c r="U45" s="544">
        <f>'[1]DB SLS &amp; MKT'!F56</f>
        <v>8.9999999999999993E-3</v>
      </c>
      <c r="V45" s="544">
        <f>'[1]DB SLS &amp; MKT'!G56</f>
        <v>0.01</v>
      </c>
      <c r="W45" s="544">
        <f>'[1]DB SLS &amp; MKT'!H56</f>
        <v>1.4999999999999999E-2</v>
      </c>
      <c r="X45" s="544">
        <f>'[1]DB SLS &amp; MKT'!I56</f>
        <v>0.01</v>
      </c>
      <c r="Y45" s="544">
        <f>'[1]DB SLS &amp; MKT'!J56</f>
        <v>8.0000000000000002E-3</v>
      </c>
      <c r="Z45" s="544">
        <f>'[1]DB SLS &amp; MKT'!K56</f>
        <v>8.9999999999999993E-3</v>
      </c>
      <c r="AA45" s="544">
        <f>'[1]DB SLS &amp; MKT'!L56</f>
        <v>7.0000000000000001E-3</v>
      </c>
      <c r="AB45" s="544">
        <f>'[1]DB SLS &amp; MKT'!M56</f>
        <v>8.9999999999999993E-3</v>
      </c>
      <c r="AC45" s="544">
        <f>'[1]DB SLS &amp; MKT'!N56</f>
        <v>1.025E-2</v>
      </c>
    </row>
    <row r="46" spans="1:29" x14ac:dyDescent="0.25">
      <c r="A46" s="528" t="s">
        <v>640</v>
      </c>
      <c r="B46" s="539"/>
      <c r="C46" s="539"/>
      <c r="D46" s="539"/>
      <c r="E46" s="539"/>
      <c r="F46" s="539"/>
      <c r="G46" s="539"/>
      <c r="H46" s="539"/>
      <c r="I46" s="539"/>
      <c r="J46" s="539"/>
      <c r="K46" s="539"/>
      <c r="L46" s="539"/>
      <c r="M46" s="539"/>
      <c r="N46" s="539" t="e">
        <f>AVERAGE(B46:M46)</f>
        <v>#DIV/0!</v>
      </c>
      <c r="P46" s="527" t="s">
        <v>792</v>
      </c>
      <c r="Q46" s="544">
        <f>'[1]DB BusDev'!B47</f>
        <v>1.2E-2</v>
      </c>
      <c r="R46" s="544">
        <f>'[1]DB BusDev'!C47</f>
        <v>1.0999999999999999E-2</v>
      </c>
      <c r="S46" s="544">
        <f>'[1]DB BusDev'!D47</f>
        <v>1.2999999999999999E-2</v>
      </c>
      <c r="T46" s="544">
        <f>'[1]DB BusDev'!E47</f>
        <v>0.01</v>
      </c>
      <c r="U46" s="544">
        <f>'[1]DB BusDev'!F47</f>
        <v>8.9999999999999993E-3</v>
      </c>
      <c r="V46" s="544">
        <f>'[1]DB BusDev'!G47</f>
        <v>0.01</v>
      </c>
      <c r="W46" s="544">
        <f>'[1]DB BusDev'!H47</f>
        <v>1.4999999999999999E-2</v>
      </c>
      <c r="X46" s="544">
        <f>'[1]DB BusDev'!I47</f>
        <v>0.01</v>
      </c>
      <c r="Y46" s="544">
        <f>'[1]DB BusDev'!J47</f>
        <v>8.0000000000000002E-3</v>
      </c>
      <c r="Z46" s="544">
        <f>'[1]DB BusDev'!K47</f>
        <v>8.9999999999999993E-3</v>
      </c>
      <c r="AA46" s="544">
        <f>'[1]DB BusDev'!L47</f>
        <v>7.0000000000000001E-3</v>
      </c>
      <c r="AB46" s="544">
        <f>'[1]DB BusDev'!M47</f>
        <v>8.9999999999999993E-3</v>
      </c>
      <c r="AC46" s="544">
        <f>'[1]DB BusDev'!N47</f>
        <v>1.025E-2</v>
      </c>
    </row>
    <row r="47" spans="1:29" x14ac:dyDescent="0.25">
      <c r="A47" s="528" t="s">
        <v>782</v>
      </c>
      <c r="B47" s="539">
        <f>B46</f>
        <v>0</v>
      </c>
      <c r="C47" s="539">
        <f>SUM($B$46:C$46)</f>
        <v>0</v>
      </c>
      <c r="D47" s="539">
        <f>SUM($B$46:D$46)</f>
        <v>0</v>
      </c>
      <c r="E47" s="539">
        <f>SUM($B$46:E$46)</f>
        <v>0</v>
      </c>
      <c r="F47" s="539">
        <f>SUM($B$46:F$46)</f>
        <v>0</v>
      </c>
      <c r="G47" s="539">
        <f>SUM($B$46:G$46)</f>
        <v>0</v>
      </c>
      <c r="H47" s="539">
        <f>SUM($B$46:H$46)</f>
        <v>0</v>
      </c>
      <c r="I47" s="539">
        <f>SUM($B$46:I$46)</f>
        <v>0</v>
      </c>
      <c r="J47" s="539">
        <f>SUM($B$46:J$46)</f>
        <v>0</v>
      </c>
      <c r="K47" s="539">
        <f>SUM($B$46:K$46)</f>
        <v>0</v>
      </c>
      <c r="L47" s="539">
        <f>SUM($B$46:L$46)</f>
        <v>0</v>
      </c>
      <c r="M47" s="539">
        <f>SUM($B$46:M$46)</f>
        <v>0</v>
      </c>
      <c r="N47" s="539"/>
      <c r="P47" s="527" t="s">
        <v>793</v>
      </c>
      <c r="Q47" s="544">
        <f t="shared" ref="Q47:AC47" si="8">AVERAGE(Q45:Q46)</f>
        <v>1.2E-2</v>
      </c>
      <c r="R47" s="544">
        <f t="shared" si="8"/>
        <v>1.0999999999999999E-2</v>
      </c>
      <c r="S47" s="544">
        <f t="shared" si="8"/>
        <v>1.2999999999999999E-2</v>
      </c>
      <c r="T47" s="544">
        <f t="shared" si="8"/>
        <v>0.01</v>
      </c>
      <c r="U47" s="544">
        <f t="shared" si="8"/>
        <v>8.9999999999999993E-3</v>
      </c>
      <c r="V47" s="544">
        <f t="shared" si="8"/>
        <v>0.01</v>
      </c>
      <c r="W47" s="544">
        <f t="shared" si="8"/>
        <v>1.4999999999999999E-2</v>
      </c>
      <c r="X47" s="544">
        <f t="shared" si="8"/>
        <v>0.01</v>
      </c>
      <c r="Y47" s="544">
        <f t="shared" si="8"/>
        <v>8.0000000000000002E-3</v>
      </c>
      <c r="Z47" s="544">
        <f t="shared" si="8"/>
        <v>8.9999999999999993E-3</v>
      </c>
      <c r="AA47" s="544">
        <f t="shared" si="8"/>
        <v>7.0000000000000001E-3</v>
      </c>
      <c r="AB47" s="544">
        <f t="shared" si="8"/>
        <v>8.9999999999999993E-3</v>
      </c>
      <c r="AC47" s="544">
        <f t="shared" si="8"/>
        <v>1.025E-2</v>
      </c>
    </row>
    <row r="48" spans="1:29" x14ac:dyDescent="0.25">
      <c r="A48" s="528" t="s">
        <v>783</v>
      </c>
      <c r="B48" s="534" t="e">
        <f>B45/B46</f>
        <v>#DIV/0!</v>
      </c>
      <c r="C48" s="534" t="e">
        <f t="shared" ref="C48:N48" si="9">C45/C46</f>
        <v>#DIV/0!</v>
      </c>
      <c r="D48" s="534" t="e">
        <f t="shared" si="9"/>
        <v>#DIV/0!</v>
      </c>
      <c r="E48" s="534" t="e">
        <f t="shared" si="9"/>
        <v>#DIV/0!</v>
      </c>
      <c r="F48" s="534" t="e">
        <f t="shared" si="9"/>
        <v>#DIV/0!</v>
      </c>
      <c r="G48" s="534" t="e">
        <f t="shared" si="9"/>
        <v>#DIV/0!</v>
      </c>
      <c r="H48" s="534" t="e">
        <f t="shared" si="9"/>
        <v>#DIV/0!</v>
      </c>
      <c r="I48" s="534" t="e">
        <f t="shared" si="9"/>
        <v>#DIV/0!</v>
      </c>
      <c r="J48" s="534" t="e">
        <f t="shared" si="9"/>
        <v>#DIV/0!</v>
      </c>
      <c r="K48" s="534" t="e">
        <f t="shared" si="9"/>
        <v>#DIV/0!</v>
      </c>
      <c r="L48" s="534" t="e">
        <f t="shared" si="9"/>
        <v>#DIV/0!</v>
      </c>
      <c r="M48" s="534" t="e">
        <f t="shared" si="9"/>
        <v>#DIV/0!</v>
      </c>
      <c r="N48" s="534" t="e">
        <f t="shared" si="9"/>
        <v>#DIV/0!</v>
      </c>
    </row>
    <row r="49" spans="1:14" x14ac:dyDescent="0.25">
      <c r="A49" s="531" t="s">
        <v>799</v>
      </c>
    </row>
    <row r="51" spans="1:14" x14ac:dyDescent="0.25">
      <c r="A51" s="526" t="s">
        <v>800</v>
      </c>
    </row>
    <row r="52" spans="1:14" x14ac:dyDescent="0.25">
      <c r="A52" s="528" t="s">
        <v>801</v>
      </c>
      <c r="B52" s="528" t="s">
        <v>704</v>
      </c>
      <c r="C52" s="528" t="s">
        <v>705</v>
      </c>
      <c r="D52" s="528" t="s">
        <v>706</v>
      </c>
      <c r="E52" s="528" t="s">
        <v>707</v>
      </c>
      <c r="F52" s="528" t="s">
        <v>709</v>
      </c>
      <c r="G52" s="528" t="s">
        <v>780</v>
      </c>
      <c r="H52" s="528" t="s">
        <v>711</v>
      </c>
      <c r="I52" s="528" t="s">
        <v>715</v>
      </c>
      <c r="J52" s="528" t="s">
        <v>717</v>
      </c>
      <c r="K52" s="528" t="s">
        <v>720</v>
      </c>
      <c r="L52" s="528" t="s">
        <v>723</v>
      </c>
      <c r="M52" s="528" t="s">
        <v>725</v>
      </c>
      <c r="N52" s="528" t="s">
        <v>728</v>
      </c>
    </row>
    <row r="53" spans="1:14" x14ac:dyDescent="0.25">
      <c r="A53" s="528" t="s">
        <v>639</v>
      </c>
      <c r="B53" s="578">
        <v>0</v>
      </c>
      <c r="C53" s="578">
        <v>0</v>
      </c>
      <c r="D53" s="578">
        <v>0</v>
      </c>
      <c r="E53" s="578">
        <v>0</v>
      </c>
      <c r="F53" s="578">
        <v>0</v>
      </c>
      <c r="G53" s="578">
        <v>0</v>
      </c>
      <c r="H53" s="578">
        <v>0</v>
      </c>
      <c r="I53" s="578">
        <v>0</v>
      </c>
      <c r="J53" s="578">
        <v>0</v>
      </c>
      <c r="K53" s="578">
        <v>0</v>
      </c>
      <c r="L53" s="578">
        <v>0</v>
      </c>
      <c r="M53" s="578">
        <v>0</v>
      </c>
      <c r="N53" s="578">
        <f>SUM(B53:M53)</f>
        <v>0</v>
      </c>
    </row>
    <row r="54" spans="1:14" x14ac:dyDescent="0.25">
      <c r="A54" s="528" t="s">
        <v>640</v>
      </c>
      <c r="B54" s="578"/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  <c r="N54" s="578">
        <f>SUM(B54:M54)</f>
        <v>0</v>
      </c>
    </row>
    <row r="55" spans="1:14" x14ac:dyDescent="0.25">
      <c r="A55" s="528" t="s">
        <v>782</v>
      </c>
      <c r="B55" s="578">
        <f>B54</f>
        <v>0</v>
      </c>
      <c r="C55" s="578">
        <f>SUM($B$54:C$54)</f>
        <v>0</v>
      </c>
      <c r="D55" s="578">
        <f>SUM($B$54:D$54)</f>
        <v>0</v>
      </c>
      <c r="E55" s="578">
        <f>SUM($B$54:E$54)</f>
        <v>0</v>
      </c>
      <c r="F55" s="578">
        <f>SUM($B$54:F$54)</f>
        <v>0</v>
      </c>
      <c r="G55" s="578">
        <f>SUM($B$54:G$54)</f>
        <v>0</v>
      </c>
      <c r="H55" s="578">
        <f>SUM($B$54:H$54)</f>
        <v>0</v>
      </c>
      <c r="I55" s="578">
        <f>SUM($B$54:I$54)</f>
        <v>0</v>
      </c>
      <c r="J55" s="578">
        <f>SUM($B$54:J$54)</f>
        <v>0</v>
      </c>
      <c r="K55" s="578">
        <f>SUM($B$54:K$54)</f>
        <v>0</v>
      </c>
      <c r="L55" s="578">
        <f>SUM($B$54:L$54)</f>
        <v>0</v>
      </c>
      <c r="M55" s="578">
        <f>SUM($B$54:M$54)</f>
        <v>0</v>
      </c>
      <c r="N55" s="578"/>
    </row>
    <row r="56" spans="1:14" x14ac:dyDescent="0.25">
      <c r="A56" s="528" t="s">
        <v>783</v>
      </c>
      <c r="B56" s="545">
        <f>IF(B54=0,1,B54/B53)</f>
        <v>1</v>
      </c>
      <c r="C56" s="545">
        <f t="shared" ref="C56:M56" si="10">IF(C54=0,1,C54/C53)</f>
        <v>1</v>
      </c>
      <c r="D56" s="545">
        <f t="shared" si="10"/>
        <v>1</v>
      </c>
      <c r="E56" s="545">
        <f t="shared" si="10"/>
        <v>1</v>
      </c>
      <c r="F56" s="545">
        <f t="shared" si="10"/>
        <v>1</v>
      </c>
      <c r="G56" s="545">
        <f t="shared" si="10"/>
        <v>1</v>
      </c>
      <c r="H56" s="545">
        <f t="shared" si="10"/>
        <v>1</v>
      </c>
      <c r="I56" s="545">
        <f t="shared" si="10"/>
        <v>1</v>
      </c>
      <c r="J56" s="545">
        <f t="shared" si="10"/>
        <v>1</v>
      </c>
      <c r="K56" s="545">
        <f t="shared" si="10"/>
        <v>1</v>
      </c>
      <c r="L56" s="545">
        <f t="shared" si="10"/>
        <v>1</v>
      </c>
      <c r="M56" s="545">
        <f t="shared" si="10"/>
        <v>1</v>
      </c>
      <c r="N56" s="545" t="str">
        <f t="shared" ref="N56" si="11">IF(N54=0,"100%",N54/N53)</f>
        <v>100%</v>
      </c>
    </row>
    <row r="57" spans="1:14" x14ac:dyDescent="0.25">
      <c r="A57" s="528" t="s">
        <v>784</v>
      </c>
      <c r="B57" s="545">
        <f>B56</f>
        <v>1</v>
      </c>
      <c r="C57" s="534">
        <f>SUM($B$56:C$56)/COUNT($B$56:C$56)</f>
        <v>1</v>
      </c>
      <c r="D57" s="534">
        <f>SUM($B$56:D$56)/COUNT($B$56:D$56)</f>
        <v>1</v>
      </c>
      <c r="E57" s="534">
        <f>SUM($B$56:E$56)/COUNT($B$56:E$56)</f>
        <v>1</v>
      </c>
      <c r="F57" s="534">
        <f>SUM($B$56:F$56)/COUNT($B$56:F$56)</f>
        <v>1</v>
      </c>
      <c r="G57" s="534">
        <f>SUM($B$56:G$56)/COUNT($B$56:G$56)</f>
        <v>1</v>
      </c>
      <c r="H57" s="534">
        <f>SUM($B$56:H$56)/COUNT($B$56:H$56)</f>
        <v>1</v>
      </c>
      <c r="I57" s="534">
        <f>SUM($B$56:I$56)/COUNT($B$56:I$56)</f>
        <v>1</v>
      </c>
      <c r="J57" s="534">
        <f>SUM($B$56:J$56)/COUNT($B$56:J$56)</f>
        <v>1</v>
      </c>
      <c r="K57" s="534">
        <f>SUM($B$56:K$56)/COUNT($B$56:K$56)</f>
        <v>1</v>
      </c>
      <c r="L57" s="534">
        <f>SUM($B$56:L$56)/COUNT($B$56:L$56)</f>
        <v>1</v>
      </c>
      <c r="M57" s="534">
        <f>SUM($B$56:M$56)/COUNT($B$56:M$56)</f>
        <v>1</v>
      </c>
      <c r="N57" s="534"/>
    </row>
    <row r="58" spans="1:14" x14ac:dyDescent="0.25">
      <c r="A58" s="531" t="s">
        <v>799</v>
      </c>
    </row>
    <row r="60" spans="1:14" x14ac:dyDescent="0.25">
      <c r="A60" s="526" t="s">
        <v>802</v>
      </c>
    </row>
    <row r="61" spans="1:14" x14ac:dyDescent="0.25">
      <c r="A61" s="528" t="s">
        <v>803</v>
      </c>
      <c r="B61" s="528" t="s">
        <v>704</v>
      </c>
      <c r="C61" s="528" t="s">
        <v>705</v>
      </c>
      <c r="D61" s="528" t="s">
        <v>706</v>
      </c>
      <c r="E61" s="528" t="s">
        <v>707</v>
      </c>
      <c r="F61" s="528" t="s">
        <v>709</v>
      </c>
      <c r="G61" s="528" t="s">
        <v>780</v>
      </c>
      <c r="H61" s="528" t="s">
        <v>711</v>
      </c>
      <c r="I61" s="528" t="s">
        <v>715</v>
      </c>
      <c r="J61" s="528" t="s">
        <v>717</v>
      </c>
      <c r="K61" s="528" t="s">
        <v>720</v>
      </c>
      <c r="L61" s="528" t="s">
        <v>723</v>
      </c>
      <c r="M61" s="528" t="s">
        <v>725</v>
      </c>
      <c r="N61" s="528" t="s">
        <v>728</v>
      </c>
    </row>
    <row r="62" spans="1:14" x14ac:dyDescent="0.25">
      <c r="A62" s="528" t="s">
        <v>639</v>
      </c>
      <c r="B62" s="578">
        <f>'[1]DB Dir Prod'!B38</f>
        <v>0</v>
      </c>
      <c r="C62" s="578">
        <f>'[1]DB Dir Prod'!C38</f>
        <v>0</v>
      </c>
      <c r="D62" s="578">
        <f>'[1]DB Dir Prod'!D38</f>
        <v>0</v>
      </c>
      <c r="E62" s="578">
        <f>'[1]DB Dir Prod'!E38</f>
        <v>0</v>
      </c>
      <c r="F62" s="578">
        <f>'[1]DB Dir Prod'!F38</f>
        <v>0</v>
      </c>
      <c r="G62" s="578">
        <f>'[1]DB Dir Prod'!G38</f>
        <v>0</v>
      </c>
      <c r="H62" s="578">
        <f>'[1]DB Dir Prod'!H38</f>
        <v>0</v>
      </c>
      <c r="I62" s="578">
        <f>'[1]DB Dir Prod'!I38</f>
        <v>0</v>
      </c>
      <c r="J62" s="578">
        <f>'[1]DB Dir Prod'!J38</f>
        <v>0</v>
      </c>
      <c r="K62" s="578">
        <f>'[1]DB Dir Prod'!K38</f>
        <v>0</v>
      </c>
      <c r="L62" s="578">
        <f>'[1]DB Dir Prod'!L38</f>
        <v>0</v>
      </c>
      <c r="M62" s="578">
        <f>'[1]DB Dir Prod'!M38</f>
        <v>0</v>
      </c>
      <c r="N62" s="586">
        <f>SUM(B62:M62)</f>
        <v>0</v>
      </c>
    </row>
    <row r="63" spans="1:14" x14ac:dyDescent="0.25">
      <c r="A63" s="528" t="s">
        <v>640</v>
      </c>
      <c r="B63" s="587"/>
      <c r="C63" s="587"/>
      <c r="D63" s="587"/>
      <c r="E63" s="587"/>
      <c r="F63" s="578"/>
      <c r="G63" s="578"/>
      <c r="H63" s="578"/>
      <c r="I63" s="578"/>
      <c r="J63" s="578"/>
      <c r="K63" s="578"/>
      <c r="L63" s="578"/>
      <c r="M63" s="578"/>
      <c r="N63" s="578">
        <f>SUM(B63:M63)</f>
        <v>0</v>
      </c>
    </row>
    <row r="64" spans="1:14" x14ac:dyDescent="0.25">
      <c r="A64" s="528" t="s">
        <v>782</v>
      </c>
      <c r="B64" s="578">
        <f>B63</f>
        <v>0</v>
      </c>
      <c r="C64" s="578">
        <f>SUM($B$63:C$63)</f>
        <v>0</v>
      </c>
      <c r="D64" s="578">
        <f>SUM($B$63:D$63)</f>
        <v>0</v>
      </c>
      <c r="E64" s="578">
        <f>SUM($B$63:E$63)</f>
        <v>0</v>
      </c>
      <c r="F64" s="578">
        <f>SUM($B$63:F$63)</f>
        <v>0</v>
      </c>
      <c r="G64" s="578">
        <f>SUM($B$63:G$63)</f>
        <v>0</v>
      </c>
      <c r="H64" s="578">
        <f>SUM($B$63:H$63)</f>
        <v>0</v>
      </c>
      <c r="I64" s="578">
        <f>SUM($B$63:I$63)</f>
        <v>0</v>
      </c>
      <c r="J64" s="578">
        <f>SUM($B$63:J$63)</f>
        <v>0</v>
      </c>
      <c r="K64" s="578">
        <f>SUM($B$63:K$63)</f>
        <v>0</v>
      </c>
      <c r="L64" s="578">
        <f>SUM($B$63:L$63)</f>
        <v>0</v>
      </c>
      <c r="M64" s="578">
        <f>SUM($B$63:M$63)</f>
        <v>0</v>
      </c>
      <c r="N64" s="578"/>
    </row>
    <row r="65" spans="1:29" ht="14.25" customHeight="1" x14ac:dyDescent="0.25">
      <c r="A65" s="528" t="s">
        <v>783</v>
      </c>
      <c r="B65" s="545">
        <f>IF(B63=0,1,B62/B63)</f>
        <v>1</v>
      </c>
      <c r="C65" s="545">
        <f t="shared" ref="C65:N65" si="12">IF(C63=0,1,C62/C63)</f>
        <v>1</v>
      </c>
      <c r="D65" s="545">
        <f t="shared" si="12"/>
        <v>1</v>
      </c>
      <c r="E65" s="545">
        <f t="shared" si="12"/>
        <v>1</v>
      </c>
      <c r="F65" s="545">
        <f t="shared" si="12"/>
        <v>1</v>
      </c>
      <c r="G65" s="545">
        <f t="shared" si="12"/>
        <v>1</v>
      </c>
      <c r="H65" s="545">
        <f t="shared" si="12"/>
        <v>1</v>
      </c>
      <c r="I65" s="545">
        <f t="shared" si="12"/>
        <v>1</v>
      </c>
      <c r="J65" s="545">
        <f t="shared" si="12"/>
        <v>1</v>
      </c>
      <c r="K65" s="545">
        <f t="shared" si="12"/>
        <v>1</v>
      </c>
      <c r="L65" s="545">
        <f t="shared" si="12"/>
        <v>1</v>
      </c>
      <c r="M65" s="545">
        <f t="shared" si="12"/>
        <v>1</v>
      </c>
      <c r="N65" s="545">
        <f t="shared" si="12"/>
        <v>1</v>
      </c>
    </row>
    <row r="66" spans="1:29" x14ac:dyDescent="0.25">
      <c r="A66" s="528" t="s">
        <v>784</v>
      </c>
      <c r="B66" s="545">
        <f>B65</f>
        <v>1</v>
      </c>
      <c r="C66" s="534">
        <f>SUM($B$65:C$65)/COUNT($B$65:C$65)</f>
        <v>1</v>
      </c>
      <c r="D66" s="534">
        <f>SUM($B$65:D$65)/COUNT($B$65:D$65)</f>
        <v>1</v>
      </c>
      <c r="E66" s="534">
        <f>SUM($B$65:E$65)/COUNT($B$65:E$65)</f>
        <v>1</v>
      </c>
      <c r="F66" s="534">
        <f>SUM($B$65:F$65)/COUNT($B$65:F$65)</f>
        <v>1</v>
      </c>
      <c r="G66" s="534">
        <f>SUM($B$65:G$65)/COUNT($B$65:G$65)</f>
        <v>1</v>
      </c>
      <c r="H66" s="534">
        <f>SUM($B$65:H$65)/COUNT($B$65:H$65)</f>
        <v>1</v>
      </c>
      <c r="I66" s="534">
        <f>SUM($B$65:I$65)/COUNT($B$65:I$65)</f>
        <v>1</v>
      </c>
      <c r="J66" s="534">
        <f>SUM($B$65:J$65)/COUNT($B$65:J$65)</f>
        <v>1</v>
      </c>
      <c r="K66" s="534">
        <f>SUM($B$65:K$65)/COUNT($B$65:K$65)</f>
        <v>1</v>
      </c>
      <c r="L66" s="534">
        <f>SUM($B$65:L$65)/COUNT($B$65:L$65)</f>
        <v>1</v>
      </c>
      <c r="M66" s="534">
        <f>SUM($B$65:M$65)/COUNT($B$65:M$65)</f>
        <v>1</v>
      </c>
      <c r="N66" s="534"/>
    </row>
    <row r="67" spans="1:29" x14ac:dyDescent="0.25">
      <c r="A67" s="531" t="s">
        <v>799</v>
      </c>
      <c r="B67" s="547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</row>
    <row r="69" spans="1:29" x14ac:dyDescent="0.25">
      <c r="A69" s="526" t="s">
        <v>804</v>
      </c>
    </row>
    <row r="70" spans="1:29" x14ac:dyDescent="0.25">
      <c r="A70" s="528" t="s">
        <v>805</v>
      </c>
      <c r="B70" s="528" t="s">
        <v>704</v>
      </c>
      <c r="C70" s="528" t="s">
        <v>705</v>
      </c>
      <c r="D70" s="528" t="s">
        <v>706</v>
      </c>
      <c r="E70" s="528" t="s">
        <v>707</v>
      </c>
      <c r="F70" s="528" t="s">
        <v>709</v>
      </c>
      <c r="G70" s="528" t="s">
        <v>780</v>
      </c>
      <c r="H70" s="528" t="s">
        <v>711</v>
      </c>
      <c r="I70" s="528" t="s">
        <v>715</v>
      </c>
      <c r="J70" s="528" t="s">
        <v>717</v>
      </c>
      <c r="K70" s="528" t="s">
        <v>720</v>
      </c>
      <c r="L70" s="528" t="s">
        <v>723</v>
      </c>
      <c r="M70" s="528" t="s">
        <v>725</v>
      </c>
      <c r="N70" s="528" t="s">
        <v>728</v>
      </c>
      <c r="P70" s="529" t="s">
        <v>790</v>
      </c>
      <c r="Q70" s="528" t="s">
        <v>704</v>
      </c>
      <c r="R70" s="528" t="s">
        <v>705</v>
      </c>
      <c r="S70" s="528" t="s">
        <v>706</v>
      </c>
      <c r="T70" s="528" t="s">
        <v>707</v>
      </c>
      <c r="U70" s="528" t="s">
        <v>709</v>
      </c>
      <c r="V70" s="528" t="s">
        <v>780</v>
      </c>
      <c r="W70" s="528" t="s">
        <v>711</v>
      </c>
      <c r="X70" s="528" t="s">
        <v>715</v>
      </c>
      <c r="Y70" s="528" t="s">
        <v>717</v>
      </c>
      <c r="Z70" s="528" t="s">
        <v>720</v>
      </c>
      <c r="AA70" s="528" t="s">
        <v>723</v>
      </c>
      <c r="AB70" s="528" t="s">
        <v>725</v>
      </c>
      <c r="AC70" s="528" t="s">
        <v>728</v>
      </c>
    </row>
    <row r="71" spans="1:29" x14ac:dyDescent="0.25">
      <c r="A71" s="528" t="s">
        <v>639</v>
      </c>
      <c r="B71" s="534">
        <v>0.75</v>
      </c>
      <c r="C71" s="534">
        <v>0.75</v>
      </c>
      <c r="D71" s="534">
        <v>0.75</v>
      </c>
      <c r="E71" s="534">
        <v>0.75</v>
      </c>
      <c r="F71" s="534">
        <v>0.75</v>
      </c>
      <c r="G71" s="534">
        <v>0.75</v>
      </c>
      <c r="H71" s="534">
        <v>0.75</v>
      </c>
      <c r="I71" s="534">
        <v>0.75</v>
      </c>
      <c r="J71" s="534">
        <v>0.75</v>
      </c>
      <c r="K71" s="534">
        <v>0.75</v>
      </c>
      <c r="L71" s="534">
        <v>0.75</v>
      </c>
      <c r="M71" s="534">
        <v>0.75</v>
      </c>
      <c r="N71" s="534">
        <f>AVERAGE(B71:M71)</f>
        <v>0.75</v>
      </c>
      <c r="P71" s="527" t="s">
        <v>795</v>
      </c>
      <c r="Q71" s="543">
        <f>'[1]DB Dir Adm'!B67</f>
        <v>1</v>
      </c>
      <c r="R71" s="543">
        <f>'[1]DB Dir Adm'!C67</f>
        <v>1</v>
      </c>
      <c r="S71" s="543">
        <f>'[1]DB Dir Adm'!D67</f>
        <v>1</v>
      </c>
      <c r="T71" s="543">
        <f>'[1]DB Dir Adm'!E67</f>
        <v>1</v>
      </c>
      <c r="U71" s="543">
        <f>'[1]DB Dir Adm'!F67</f>
        <v>1</v>
      </c>
      <c r="V71" s="543">
        <f>'[1]DB Dir Adm'!G67</f>
        <v>1</v>
      </c>
      <c r="W71" s="543">
        <f>'[1]DB Dir Adm'!H67</f>
        <v>1</v>
      </c>
      <c r="X71" s="543">
        <f>'[1]DB Dir Adm'!I67</f>
        <v>1</v>
      </c>
      <c r="Y71" s="543">
        <f>'[1]DB Dir Adm'!J67</f>
        <v>1</v>
      </c>
      <c r="Z71" s="543">
        <f>'[1]DB Dir Adm'!K67</f>
        <v>1</v>
      </c>
      <c r="AA71" s="543">
        <f>'[1]DB Dir Adm'!L67</f>
        <v>1</v>
      </c>
      <c r="AB71" s="543">
        <f>'[1]DB Dir Adm'!M67</f>
        <v>1</v>
      </c>
      <c r="AC71" s="543">
        <f>AVERAGE(Q71:AB71)</f>
        <v>1</v>
      </c>
    </row>
    <row r="72" spans="1:29" x14ac:dyDescent="0.25">
      <c r="A72" s="528" t="s">
        <v>640</v>
      </c>
      <c r="B72" s="534">
        <v>0.75</v>
      </c>
      <c r="C72" s="534">
        <v>0.75</v>
      </c>
      <c r="D72" s="534">
        <v>0.75</v>
      </c>
      <c r="E72" s="534">
        <v>0.75</v>
      </c>
      <c r="F72" s="534">
        <v>0.75</v>
      </c>
      <c r="G72" s="534"/>
      <c r="H72" s="534"/>
      <c r="I72" s="534"/>
      <c r="J72" s="534"/>
      <c r="K72" s="534"/>
      <c r="L72" s="534"/>
      <c r="M72" s="534"/>
      <c r="N72" s="534">
        <f>AVERAGE(B72:M72)</f>
        <v>0.75</v>
      </c>
      <c r="P72" s="527" t="s">
        <v>791</v>
      </c>
      <c r="Q72" s="543">
        <f>'[1]DB SLS &amp; MKT'!B102</f>
        <v>1</v>
      </c>
      <c r="R72" s="543">
        <f>'[1]DB SLS &amp; MKT'!C102</f>
        <v>1</v>
      </c>
      <c r="S72" s="543">
        <f>'[1]DB SLS &amp; MKT'!D102</f>
        <v>1</v>
      </c>
      <c r="T72" s="543">
        <f>'[1]DB SLS &amp; MKT'!E102</f>
        <v>1</v>
      </c>
      <c r="U72" s="543">
        <f>'[1]DB SLS &amp; MKT'!F102</f>
        <v>1</v>
      </c>
      <c r="V72" s="543">
        <f>'[1]DB SLS &amp; MKT'!G102</f>
        <v>1</v>
      </c>
      <c r="W72" s="543">
        <f>'[1]DB SLS &amp; MKT'!H102</f>
        <v>1</v>
      </c>
      <c r="X72" s="543">
        <f>'[1]DB SLS &amp; MKT'!I102</f>
        <v>1</v>
      </c>
      <c r="Y72" s="543">
        <f>'[1]DB SLS &amp; MKT'!J102</f>
        <v>1</v>
      </c>
      <c r="Z72" s="543">
        <f>'[1]DB SLS &amp; MKT'!K102</f>
        <v>1</v>
      </c>
      <c r="AA72" s="543">
        <f>'[1]DB SLS &amp; MKT'!L102</f>
        <v>1</v>
      </c>
      <c r="AB72" s="543">
        <f>'[1]DB SLS &amp; MKT'!M102</f>
        <v>1</v>
      </c>
      <c r="AC72" s="543">
        <f t="shared" ref="AC72:AC74" si="13">AVERAGE(Q72:AB72)</f>
        <v>1</v>
      </c>
    </row>
    <row r="73" spans="1:29" x14ac:dyDescent="0.25">
      <c r="A73" s="528" t="s">
        <v>783</v>
      </c>
      <c r="B73" s="545">
        <f t="shared" ref="B73:N73" si="14">B72/B71</f>
        <v>1</v>
      </c>
      <c r="C73" s="545">
        <f t="shared" si="14"/>
        <v>1</v>
      </c>
      <c r="D73" s="545">
        <f t="shared" si="14"/>
        <v>1</v>
      </c>
      <c r="E73" s="545">
        <f t="shared" si="14"/>
        <v>1</v>
      </c>
      <c r="F73" s="545">
        <f t="shared" si="14"/>
        <v>1</v>
      </c>
      <c r="G73" s="545">
        <f t="shared" si="14"/>
        <v>0</v>
      </c>
      <c r="H73" s="545">
        <f t="shared" si="14"/>
        <v>0</v>
      </c>
      <c r="I73" s="545">
        <f t="shared" si="14"/>
        <v>0</v>
      </c>
      <c r="J73" s="545">
        <f t="shared" si="14"/>
        <v>0</v>
      </c>
      <c r="K73" s="545">
        <f t="shared" si="14"/>
        <v>0</v>
      </c>
      <c r="L73" s="545">
        <f t="shared" si="14"/>
        <v>0</v>
      </c>
      <c r="M73" s="545">
        <f t="shared" si="14"/>
        <v>0</v>
      </c>
      <c r="N73" s="545">
        <f t="shared" si="14"/>
        <v>1</v>
      </c>
      <c r="P73" s="527" t="s">
        <v>792</v>
      </c>
      <c r="Q73" s="543">
        <f>'[1]DB BusDev'!B93</f>
        <v>1</v>
      </c>
      <c r="R73" s="543">
        <f>'[1]DB BusDev'!C93</f>
        <v>1</v>
      </c>
      <c r="S73" s="543">
        <f>'[1]DB BusDev'!D93</f>
        <v>1</v>
      </c>
      <c r="T73" s="543">
        <f>'[1]DB BusDev'!E93</f>
        <v>1</v>
      </c>
      <c r="U73" s="543">
        <f>'[1]DB BusDev'!F93</f>
        <v>1</v>
      </c>
      <c r="V73" s="543">
        <f>'[1]DB BusDev'!G93</f>
        <v>1</v>
      </c>
      <c r="W73" s="543">
        <f>'[1]DB BusDev'!H93</f>
        <v>1</v>
      </c>
      <c r="X73" s="543">
        <f>'[1]DB BusDev'!I93</f>
        <v>1</v>
      </c>
      <c r="Y73" s="543">
        <f>'[1]DB BusDev'!J93</f>
        <v>1</v>
      </c>
      <c r="Z73" s="543">
        <f>'[1]DB BusDev'!K93</f>
        <v>1</v>
      </c>
      <c r="AA73" s="543">
        <f>'[1]DB BusDev'!L93</f>
        <v>1</v>
      </c>
      <c r="AB73" s="543">
        <f>'[1]DB BusDev'!M93</f>
        <v>1</v>
      </c>
      <c r="AC73" s="543">
        <f t="shared" si="13"/>
        <v>1</v>
      </c>
    </row>
    <row r="74" spans="1:29" x14ac:dyDescent="0.25">
      <c r="A74" s="528" t="s">
        <v>784</v>
      </c>
      <c r="B74" s="545">
        <f>B73</f>
        <v>1</v>
      </c>
      <c r="C74" s="534">
        <f>SUM($B$72:C$72)/COUNT($B$72:C$72)</f>
        <v>0.75</v>
      </c>
      <c r="D74" s="534">
        <f>SUM($B$72:D$72)/COUNT($B$72:D$72)</f>
        <v>0.75</v>
      </c>
      <c r="E74" s="534">
        <f>SUM($B$72:E$72)/COUNT($B$72:E$72)</f>
        <v>0.75</v>
      </c>
      <c r="F74" s="534">
        <f>SUM($B$72:F$72)/COUNT($B$72:F$72)</f>
        <v>0.75</v>
      </c>
      <c r="G74" s="534">
        <f>SUM($B$72:G$72)/COUNT($B$72:G$72)</f>
        <v>0.75</v>
      </c>
      <c r="H74" s="534">
        <f>SUM($B$72:H$72)/COUNT($B$72:H$72)</f>
        <v>0.75</v>
      </c>
      <c r="I74" s="534">
        <f>SUM($B$72:I$72)/COUNT($B$72:I$72)</f>
        <v>0.75</v>
      </c>
      <c r="J74" s="534">
        <f>SUM($B$72:J$72)/COUNT($B$72:J$72)</f>
        <v>0.75</v>
      </c>
      <c r="K74" s="534">
        <f>SUM($B$72:K$72)/COUNT($B$72:K$72)</f>
        <v>0.75</v>
      </c>
      <c r="L74" s="534">
        <f>SUM($B$72:L$72)/COUNT($B$72:L$72)</f>
        <v>0.75</v>
      </c>
      <c r="M74" s="534">
        <f>SUM($B$72:M$72)/COUNT($B$72:M$72)</f>
        <v>0.75</v>
      </c>
      <c r="N74" s="534"/>
      <c r="P74" s="527" t="s">
        <v>797</v>
      </c>
      <c r="Q74" s="543">
        <f>'[1]DB Dir Prod'!B87</f>
        <v>1</v>
      </c>
      <c r="R74" s="543">
        <f>'[1]DB Dir Prod'!C87</f>
        <v>1</v>
      </c>
      <c r="S74" s="543">
        <f>'[1]DB Dir Prod'!D87</f>
        <v>1</v>
      </c>
      <c r="T74" s="543">
        <f>'[1]DB Dir Prod'!E87</f>
        <v>1</v>
      </c>
      <c r="U74" s="543">
        <f>'[1]DB Dir Prod'!F87</f>
        <v>1</v>
      </c>
      <c r="V74" s="543">
        <f>'[1]DB Dir Prod'!G87</f>
        <v>1</v>
      </c>
      <c r="W74" s="543">
        <f>'[1]DB Dir Prod'!H87</f>
        <v>1</v>
      </c>
      <c r="X74" s="543">
        <f>'[1]DB Dir Prod'!I87</f>
        <v>1</v>
      </c>
      <c r="Y74" s="543">
        <f>'[1]DB Dir Prod'!J87</f>
        <v>1</v>
      </c>
      <c r="Z74" s="543">
        <f>'[1]DB Dir Prod'!K87</f>
        <v>1</v>
      </c>
      <c r="AA74" s="543">
        <f>'[1]DB Dir Prod'!L87</f>
        <v>1</v>
      </c>
      <c r="AB74" s="543">
        <f>'[1]DB Dir Prod'!M87</f>
        <v>1</v>
      </c>
      <c r="AC74" s="543">
        <f t="shared" si="13"/>
        <v>1</v>
      </c>
    </row>
    <row r="75" spans="1:29" x14ac:dyDescent="0.25">
      <c r="A75" s="541"/>
      <c r="B75" s="547"/>
      <c r="C75" s="542"/>
      <c r="D75" s="542"/>
      <c r="E75" s="542"/>
      <c r="F75" s="542"/>
      <c r="G75" s="542"/>
      <c r="H75" s="542"/>
      <c r="I75" s="542"/>
      <c r="J75" s="542"/>
      <c r="K75" s="542"/>
      <c r="L75" s="542"/>
      <c r="M75" s="542"/>
      <c r="N75" s="542"/>
      <c r="P75" s="527" t="s">
        <v>793</v>
      </c>
      <c r="Q75" s="543">
        <f>AVERAGE(Q71:Q74)</f>
        <v>1</v>
      </c>
      <c r="R75" s="543">
        <f t="shared" ref="R75:AC75" si="15">AVERAGE(R71:R74)</f>
        <v>1</v>
      </c>
      <c r="S75" s="543">
        <f t="shared" si="15"/>
        <v>1</v>
      </c>
      <c r="T75" s="543">
        <f t="shared" si="15"/>
        <v>1</v>
      </c>
      <c r="U75" s="543">
        <f t="shared" si="15"/>
        <v>1</v>
      </c>
      <c r="V75" s="543">
        <f t="shared" si="15"/>
        <v>1</v>
      </c>
      <c r="W75" s="543">
        <f t="shared" si="15"/>
        <v>1</v>
      </c>
      <c r="X75" s="543">
        <f t="shared" si="15"/>
        <v>1</v>
      </c>
      <c r="Y75" s="543">
        <f t="shared" si="15"/>
        <v>1</v>
      </c>
      <c r="Z75" s="543">
        <f t="shared" si="15"/>
        <v>1</v>
      </c>
      <c r="AA75" s="543">
        <f t="shared" si="15"/>
        <v>1</v>
      </c>
      <c r="AB75" s="543">
        <f t="shared" si="15"/>
        <v>1</v>
      </c>
      <c r="AC75" s="543">
        <f t="shared" si="15"/>
        <v>1</v>
      </c>
    </row>
    <row r="77" spans="1:29" x14ac:dyDescent="0.25">
      <c r="A77" s="526" t="s">
        <v>806</v>
      </c>
      <c r="B77" s="548"/>
      <c r="C77" s="548"/>
    </row>
    <row r="78" spans="1:29" x14ac:dyDescent="0.25">
      <c r="A78" s="549" t="s">
        <v>766</v>
      </c>
      <c r="B78" s="550" t="s">
        <v>704</v>
      </c>
      <c r="C78" s="550" t="s">
        <v>705</v>
      </c>
      <c r="D78" s="550" t="s">
        <v>706</v>
      </c>
      <c r="E78" s="550" t="s">
        <v>707</v>
      </c>
      <c r="F78" s="550" t="s">
        <v>709</v>
      </c>
      <c r="G78" s="550" t="s">
        <v>780</v>
      </c>
      <c r="H78" s="550" t="s">
        <v>711</v>
      </c>
      <c r="I78" s="550" t="s">
        <v>715</v>
      </c>
      <c r="J78" s="550" t="s">
        <v>717</v>
      </c>
      <c r="K78" s="550" t="s">
        <v>720</v>
      </c>
      <c r="L78" s="550" t="s">
        <v>723</v>
      </c>
      <c r="M78" s="550" t="s">
        <v>725</v>
      </c>
      <c r="N78" s="550" t="s">
        <v>728</v>
      </c>
      <c r="P78" s="529" t="s">
        <v>790</v>
      </c>
      <c r="Q78" s="528" t="s">
        <v>704</v>
      </c>
      <c r="R78" s="528" t="s">
        <v>705</v>
      </c>
      <c r="S78" s="528" t="s">
        <v>706</v>
      </c>
      <c r="T78" s="528" t="s">
        <v>707</v>
      </c>
      <c r="U78" s="528" t="s">
        <v>709</v>
      </c>
      <c r="V78" s="528" t="s">
        <v>780</v>
      </c>
      <c r="W78" s="528" t="s">
        <v>711</v>
      </c>
      <c r="X78" s="528" t="s">
        <v>715</v>
      </c>
      <c r="Y78" s="528" t="s">
        <v>717</v>
      </c>
      <c r="Z78" s="528" t="s">
        <v>720</v>
      </c>
      <c r="AA78" s="528" t="s">
        <v>723</v>
      </c>
      <c r="AB78" s="528" t="s">
        <v>725</v>
      </c>
      <c r="AC78" s="528" t="s">
        <v>728</v>
      </c>
    </row>
    <row r="79" spans="1:29" x14ac:dyDescent="0.25">
      <c r="A79" s="528" t="s">
        <v>639</v>
      </c>
      <c r="B79" s="537">
        <v>0</v>
      </c>
      <c r="C79" s="537">
        <v>0</v>
      </c>
      <c r="D79" s="537">
        <v>0</v>
      </c>
      <c r="E79" s="537">
        <v>0</v>
      </c>
      <c r="F79" s="537">
        <v>0</v>
      </c>
      <c r="G79" s="537">
        <v>0</v>
      </c>
      <c r="H79" s="537">
        <v>0</v>
      </c>
      <c r="I79" s="537">
        <v>0</v>
      </c>
      <c r="J79" s="537">
        <v>0</v>
      </c>
      <c r="K79" s="537">
        <v>0</v>
      </c>
      <c r="L79" s="537">
        <v>0</v>
      </c>
      <c r="M79" s="537">
        <v>0</v>
      </c>
      <c r="N79" s="537">
        <f>SUM(B79:M79)</f>
        <v>0</v>
      </c>
      <c r="P79" s="527" t="s">
        <v>795</v>
      </c>
      <c r="Q79" s="551">
        <f>'[1]DB Dir Adm'!B47</f>
        <v>0</v>
      </c>
      <c r="R79" s="551">
        <f>'[1]DB Dir Adm'!C47</f>
        <v>0</v>
      </c>
      <c r="S79" s="551">
        <f>'[1]DB Dir Adm'!D47</f>
        <v>0</v>
      </c>
      <c r="T79" s="551">
        <f>'[1]DB Dir Adm'!E47</f>
        <v>0</v>
      </c>
      <c r="U79" s="551">
        <f>'[1]DB Dir Adm'!F47</f>
        <v>0</v>
      </c>
      <c r="V79" s="551">
        <f>'[1]DB Dir Adm'!G47</f>
        <v>0</v>
      </c>
      <c r="W79" s="551">
        <f>'[1]DB Dir Adm'!H47</f>
        <v>0</v>
      </c>
      <c r="X79" s="551">
        <f>'[1]DB Dir Adm'!I47</f>
        <v>0</v>
      </c>
      <c r="Y79" s="551">
        <f>'[1]DB Dir Adm'!J47</f>
        <v>0</v>
      </c>
      <c r="Z79" s="551">
        <f>'[1]DB Dir Adm'!K47</f>
        <v>0</v>
      </c>
      <c r="AA79" s="551">
        <f>'[1]DB Dir Adm'!L47</f>
        <v>0</v>
      </c>
      <c r="AB79" s="551">
        <f>'[1]DB Dir Adm'!M47</f>
        <v>0</v>
      </c>
      <c r="AC79" s="551">
        <f>AVERAGE(Q79:AB79)</f>
        <v>0</v>
      </c>
    </row>
    <row r="80" spans="1:29" x14ac:dyDescent="0.25">
      <c r="A80" s="528" t="s">
        <v>640</v>
      </c>
      <c r="B80" s="537"/>
      <c r="C80" s="537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>
        <f>SUM(B80:M80)</f>
        <v>0</v>
      </c>
      <c r="P80" s="527" t="s">
        <v>791</v>
      </c>
      <c r="Q80" s="551">
        <f>'[1]DB SLS &amp; MKT'!B110</f>
        <v>0</v>
      </c>
      <c r="R80" s="551">
        <f>'[1]DB SLS &amp; MKT'!C110</f>
        <v>0</v>
      </c>
      <c r="S80" s="551">
        <f>'[1]DB SLS &amp; MKT'!D110</f>
        <v>0</v>
      </c>
      <c r="T80" s="551">
        <f>'[1]DB SLS &amp; MKT'!E110</f>
        <v>0</v>
      </c>
      <c r="U80" s="551">
        <f>'[1]DB SLS &amp; MKT'!F110</f>
        <v>0</v>
      </c>
      <c r="V80" s="551">
        <f>'[1]DB SLS &amp; MKT'!G110</f>
        <v>0</v>
      </c>
      <c r="W80" s="551">
        <f>'[1]DB SLS &amp; MKT'!H110</f>
        <v>0</v>
      </c>
      <c r="X80" s="551">
        <f>'[1]DB SLS &amp; MKT'!I110</f>
        <v>0</v>
      </c>
      <c r="Y80" s="551">
        <f>'[1]DB SLS &amp; MKT'!J110</f>
        <v>0</v>
      </c>
      <c r="Z80" s="551">
        <f>'[1]DB SLS &amp; MKT'!K110</f>
        <v>0</v>
      </c>
      <c r="AA80" s="551">
        <f>'[1]DB SLS &amp; MKT'!L110</f>
        <v>0</v>
      </c>
      <c r="AB80" s="551">
        <f>'[1]DB SLS &amp; MKT'!M110</f>
        <v>0</v>
      </c>
      <c r="AC80" s="551">
        <f t="shared" ref="AC80:AC82" si="16">AVERAGE(Q80:AB80)</f>
        <v>0</v>
      </c>
    </row>
    <row r="81" spans="1:29" x14ac:dyDescent="0.25">
      <c r="A81" s="528" t="s">
        <v>782</v>
      </c>
      <c r="B81" s="537">
        <f>SUM($B$80:B$80)</f>
        <v>0</v>
      </c>
      <c r="C81" s="537">
        <f>SUM($B$80:C$80)</f>
        <v>0</v>
      </c>
      <c r="D81" s="537">
        <f>SUM($B$80:D$80)</f>
        <v>0</v>
      </c>
      <c r="E81" s="537">
        <f>SUM($B$80:E$80)</f>
        <v>0</v>
      </c>
      <c r="F81" s="537">
        <f>SUM($B$80:F$80)</f>
        <v>0</v>
      </c>
      <c r="G81" s="537">
        <f>SUM($B$80:G$80)</f>
        <v>0</v>
      </c>
      <c r="H81" s="537">
        <f>SUM($B$80:H$80)</f>
        <v>0</v>
      </c>
      <c r="I81" s="537">
        <f>SUM($B$80:I$80)</f>
        <v>0</v>
      </c>
      <c r="J81" s="537">
        <f>SUM($B$80:J$80)</f>
        <v>0</v>
      </c>
      <c r="K81" s="537">
        <f>SUM($B$80:K$80)</f>
        <v>0</v>
      </c>
      <c r="L81" s="537">
        <f>SUM($B$80:L$80)</f>
        <v>0</v>
      </c>
      <c r="M81" s="537">
        <f>SUM($B$80:M$80)</f>
        <v>0</v>
      </c>
      <c r="N81" s="537"/>
      <c r="P81" s="527" t="s">
        <v>792</v>
      </c>
      <c r="Q81" s="551">
        <f>'[1]DB BusDev'!B101</f>
        <v>0</v>
      </c>
      <c r="R81" s="551">
        <f>'[1]DB BusDev'!C101</f>
        <v>0</v>
      </c>
      <c r="S81" s="551">
        <f>'[1]DB BusDev'!D101</f>
        <v>0</v>
      </c>
      <c r="T81" s="551">
        <f>'[1]DB BusDev'!E101</f>
        <v>0</v>
      </c>
      <c r="U81" s="551">
        <f>'[1]DB BusDev'!F101</f>
        <v>0</v>
      </c>
      <c r="V81" s="551">
        <f>'[1]DB BusDev'!G101</f>
        <v>0</v>
      </c>
      <c r="W81" s="551">
        <f>'[1]DB BusDev'!H101</f>
        <v>0</v>
      </c>
      <c r="X81" s="551">
        <f>'[1]DB BusDev'!I101</f>
        <v>0</v>
      </c>
      <c r="Y81" s="551">
        <f>'[1]DB BusDev'!J101</f>
        <v>0</v>
      </c>
      <c r="Z81" s="551">
        <f>'[1]DB BusDev'!K101</f>
        <v>0</v>
      </c>
      <c r="AA81" s="551">
        <f>'[1]DB BusDev'!L101</f>
        <v>0</v>
      </c>
      <c r="AB81" s="551">
        <f>'[1]DB BusDev'!M101</f>
        <v>0</v>
      </c>
      <c r="AC81" s="551">
        <f t="shared" si="16"/>
        <v>0</v>
      </c>
    </row>
    <row r="82" spans="1:29" x14ac:dyDescent="0.25">
      <c r="A82" s="528" t="s">
        <v>783</v>
      </c>
      <c r="B82" s="545">
        <f>IF(B80=0,1,B80/B79)</f>
        <v>1</v>
      </c>
      <c r="C82" s="545">
        <f t="shared" ref="C82:M82" si="17">IF(C80=0,1,C80/C79)</f>
        <v>1</v>
      </c>
      <c r="D82" s="545">
        <f t="shared" si="17"/>
        <v>1</v>
      </c>
      <c r="E82" s="545">
        <f t="shared" si="17"/>
        <v>1</v>
      </c>
      <c r="F82" s="545">
        <f t="shared" si="17"/>
        <v>1</v>
      </c>
      <c r="G82" s="545">
        <f t="shared" si="17"/>
        <v>1</v>
      </c>
      <c r="H82" s="545">
        <f t="shared" si="17"/>
        <v>1</v>
      </c>
      <c r="I82" s="545">
        <f t="shared" si="17"/>
        <v>1</v>
      </c>
      <c r="J82" s="545">
        <f t="shared" si="17"/>
        <v>1</v>
      </c>
      <c r="K82" s="545">
        <f t="shared" si="17"/>
        <v>1</v>
      </c>
      <c r="L82" s="545">
        <f t="shared" si="17"/>
        <v>1</v>
      </c>
      <c r="M82" s="545">
        <f t="shared" si="17"/>
        <v>1</v>
      </c>
      <c r="N82" s="545" t="str">
        <f t="shared" ref="N82" si="18">IF(N80=0,"100%",N80/N79)</f>
        <v>100%</v>
      </c>
      <c r="P82" s="527" t="s">
        <v>797</v>
      </c>
      <c r="Q82" s="551">
        <f>'[1]DB Dir Prod'!B95</f>
        <v>0</v>
      </c>
      <c r="R82" s="551">
        <f>'[1]DB Dir Prod'!C95</f>
        <v>0</v>
      </c>
      <c r="S82" s="551">
        <f>'[1]DB Dir Prod'!D95</f>
        <v>0</v>
      </c>
      <c r="T82" s="551">
        <f>'[1]DB Dir Prod'!E95</f>
        <v>0</v>
      </c>
      <c r="U82" s="551">
        <f>'[1]DB Dir Prod'!F95</f>
        <v>0</v>
      </c>
      <c r="V82" s="551">
        <f>'[1]DB Dir Prod'!G95</f>
        <v>0</v>
      </c>
      <c r="W82" s="551">
        <f>'[1]DB Dir Prod'!H95</f>
        <v>0</v>
      </c>
      <c r="X82" s="551">
        <f>'[1]DB Dir Prod'!I95</f>
        <v>0</v>
      </c>
      <c r="Y82" s="551">
        <f>'[1]DB Dir Prod'!J95</f>
        <v>0</v>
      </c>
      <c r="Z82" s="551">
        <f>'[1]DB Dir Prod'!K95</f>
        <v>0</v>
      </c>
      <c r="AA82" s="551">
        <f>'[1]DB Dir Prod'!L95</f>
        <v>0</v>
      </c>
      <c r="AB82" s="551">
        <f>'[1]DB Dir Prod'!M95</f>
        <v>0</v>
      </c>
      <c r="AC82" s="551">
        <f t="shared" si="16"/>
        <v>0</v>
      </c>
    </row>
    <row r="83" spans="1:29" x14ac:dyDescent="0.25">
      <c r="A83" s="528" t="s">
        <v>784</v>
      </c>
      <c r="B83" s="534">
        <f>B82</f>
        <v>1</v>
      </c>
      <c r="C83" s="534">
        <f>SUM($B$82:C$82)/COUNT($B$82:C$82)</f>
        <v>1</v>
      </c>
      <c r="D83" s="534">
        <f>SUM($B$82:D$82)/COUNT($B$82:D$82)</f>
        <v>1</v>
      </c>
      <c r="E83" s="534">
        <f>SUM($B$82:E$82)/COUNT($B$82:E$82)</f>
        <v>1</v>
      </c>
      <c r="F83" s="534">
        <f>SUM($B$82:F$82)/COUNT($B$82:F$82)</f>
        <v>1</v>
      </c>
      <c r="G83" s="534">
        <f>SUM($B$82:G$82)/COUNT($B$82:G$82)</f>
        <v>1</v>
      </c>
      <c r="H83" s="534">
        <f>SUM($B$82:H$82)/COUNT($B$82:H$82)</f>
        <v>1</v>
      </c>
      <c r="I83" s="534">
        <f>SUM($B$82:I$82)/COUNT($B$82:I$82)</f>
        <v>1</v>
      </c>
      <c r="J83" s="534">
        <f>SUM($B$82:J$82)/COUNT($B$82:J$82)</f>
        <v>1</v>
      </c>
      <c r="K83" s="534">
        <f>SUM($B$82:K$82)/COUNT($B$82:K$82)</f>
        <v>1</v>
      </c>
      <c r="L83" s="534">
        <f>SUM($B$82:L$82)/COUNT($B$82:L$82)</f>
        <v>1</v>
      </c>
      <c r="M83" s="534">
        <f>SUM($B$82:M$82)/COUNT($B$82:M$82)</f>
        <v>1</v>
      </c>
      <c r="N83" s="534"/>
      <c r="P83" s="527" t="s">
        <v>793</v>
      </c>
      <c r="Q83" s="551">
        <f>AVERAGE(Q79:Q82)</f>
        <v>0</v>
      </c>
      <c r="R83" s="551">
        <f t="shared" ref="R83:AC83" si="19">AVERAGE(R79:R82)</f>
        <v>0</v>
      </c>
      <c r="S83" s="551">
        <f t="shared" si="19"/>
        <v>0</v>
      </c>
      <c r="T83" s="551">
        <f t="shared" si="19"/>
        <v>0</v>
      </c>
      <c r="U83" s="551">
        <f t="shared" si="19"/>
        <v>0</v>
      </c>
      <c r="V83" s="551">
        <f t="shared" si="19"/>
        <v>0</v>
      </c>
      <c r="W83" s="551">
        <f t="shared" si="19"/>
        <v>0</v>
      </c>
      <c r="X83" s="551">
        <f t="shared" si="19"/>
        <v>0</v>
      </c>
      <c r="Y83" s="551">
        <f t="shared" si="19"/>
        <v>0</v>
      </c>
      <c r="Z83" s="551">
        <f t="shared" si="19"/>
        <v>0</v>
      </c>
      <c r="AA83" s="551">
        <f t="shared" si="19"/>
        <v>0</v>
      </c>
      <c r="AB83" s="551">
        <f t="shared" si="19"/>
        <v>0</v>
      </c>
      <c r="AC83" s="551">
        <f t="shared" si="19"/>
        <v>0</v>
      </c>
    </row>
    <row r="84" spans="1:29" x14ac:dyDescent="0.25">
      <c r="A84" s="541"/>
      <c r="B84" s="542"/>
      <c r="C84" s="542"/>
      <c r="D84" s="542"/>
      <c r="E84" s="542"/>
      <c r="F84" s="542"/>
      <c r="G84" s="542"/>
      <c r="H84" s="542"/>
      <c r="I84" s="542"/>
      <c r="J84" s="542"/>
      <c r="K84" s="542"/>
      <c r="L84" s="542"/>
      <c r="M84" s="542"/>
      <c r="N84" s="542"/>
    </row>
    <row r="86" spans="1:29" x14ac:dyDescent="0.25">
      <c r="A86" s="526" t="s">
        <v>807</v>
      </c>
      <c r="B86" s="552" t="s">
        <v>808</v>
      </c>
      <c r="C86" s="552"/>
    </row>
    <row r="87" spans="1:29" s="554" customFormat="1" ht="30" x14ac:dyDescent="0.25">
      <c r="A87" s="549" t="s">
        <v>809</v>
      </c>
      <c r="B87" s="553" t="s">
        <v>704</v>
      </c>
      <c r="C87" s="553" t="s">
        <v>705</v>
      </c>
      <c r="D87" s="553" t="s">
        <v>706</v>
      </c>
      <c r="E87" s="553" t="s">
        <v>707</v>
      </c>
      <c r="F87" s="553" t="s">
        <v>709</v>
      </c>
      <c r="G87" s="553" t="s">
        <v>780</v>
      </c>
      <c r="H87" s="553" t="s">
        <v>711</v>
      </c>
      <c r="I87" s="553" t="s">
        <v>715</v>
      </c>
      <c r="J87" s="553" t="s">
        <v>717</v>
      </c>
      <c r="K87" s="553" t="s">
        <v>720</v>
      </c>
      <c r="L87" s="553" t="s">
        <v>723</v>
      </c>
      <c r="M87" s="553" t="s">
        <v>725</v>
      </c>
      <c r="N87" s="553" t="s">
        <v>728</v>
      </c>
      <c r="P87" s="555" t="s">
        <v>790</v>
      </c>
      <c r="Q87" s="553" t="s">
        <v>704</v>
      </c>
      <c r="R87" s="553" t="s">
        <v>705</v>
      </c>
      <c r="S87" s="553" t="s">
        <v>706</v>
      </c>
      <c r="T87" s="553" t="s">
        <v>707</v>
      </c>
      <c r="U87" s="553" t="s">
        <v>709</v>
      </c>
      <c r="V87" s="553" t="s">
        <v>780</v>
      </c>
      <c r="W87" s="553" t="s">
        <v>711</v>
      </c>
      <c r="X87" s="553" t="s">
        <v>715</v>
      </c>
      <c r="Y87" s="553" t="s">
        <v>717</v>
      </c>
      <c r="Z87" s="553" t="s">
        <v>720</v>
      </c>
      <c r="AA87" s="553" t="s">
        <v>723</v>
      </c>
      <c r="AB87" s="553" t="s">
        <v>725</v>
      </c>
      <c r="AC87" s="553" t="s">
        <v>728</v>
      </c>
    </row>
    <row r="88" spans="1:29" x14ac:dyDescent="0.25">
      <c r="A88" s="528" t="s">
        <v>639</v>
      </c>
      <c r="B88" s="578">
        <v>0</v>
      </c>
      <c r="C88" s="578">
        <v>0</v>
      </c>
      <c r="D88" s="578">
        <v>0</v>
      </c>
      <c r="E88" s="578">
        <v>0</v>
      </c>
      <c r="F88" s="578">
        <v>0</v>
      </c>
      <c r="G88" s="578">
        <v>0</v>
      </c>
      <c r="H88" s="578">
        <v>0</v>
      </c>
      <c r="I88" s="578">
        <v>0</v>
      </c>
      <c r="J88" s="578">
        <v>0</v>
      </c>
      <c r="K88" s="578">
        <v>0</v>
      </c>
      <c r="L88" s="578">
        <v>0</v>
      </c>
      <c r="M88" s="578">
        <v>0</v>
      </c>
      <c r="N88" s="578">
        <f>SUM(B88:M88)</f>
        <v>0</v>
      </c>
      <c r="P88" s="527" t="s">
        <v>795</v>
      </c>
      <c r="Q88" s="556">
        <f>'[1]DB Dir Adm'!B58</f>
        <v>0</v>
      </c>
      <c r="R88" s="556">
        <f>'[1]DB Dir Adm'!C58</f>
        <v>0</v>
      </c>
      <c r="S88" s="556">
        <f>'[1]DB Dir Adm'!D58</f>
        <v>0</v>
      </c>
      <c r="T88" s="556">
        <f>'[1]DB Dir Adm'!E58</f>
        <v>0</v>
      </c>
      <c r="U88" s="556">
        <f>'[1]DB Dir Adm'!F58</f>
        <v>0</v>
      </c>
      <c r="V88" s="556">
        <f>'[1]DB Dir Adm'!G58</f>
        <v>0</v>
      </c>
      <c r="W88" s="556">
        <f>'[1]DB Dir Adm'!H58</f>
        <v>0</v>
      </c>
      <c r="X88" s="556">
        <f>'[1]DB Dir Adm'!I58</f>
        <v>0</v>
      </c>
      <c r="Y88" s="556">
        <f>'[1]DB Dir Adm'!J58</f>
        <v>0</v>
      </c>
      <c r="Z88" s="556">
        <f>'[1]DB Dir Adm'!K58</f>
        <v>0</v>
      </c>
      <c r="AA88" s="556">
        <f>'[1]DB Dir Adm'!L58</f>
        <v>0</v>
      </c>
      <c r="AB88" s="556">
        <f>'[1]DB Dir Adm'!M58</f>
        <v>0</v>
      </c>
      <c r="AC88" s="556">
        <f>SUM(Q88:AB88)</f>
        <v>0</v>
      </c>
    </row>
    <row r="89" spans="1:29" x14ac:dyDescent="0.25">
      <c r="A89" s="528" t="s">
        <v>640</v>
      </c>
      <c r="B89" s="578"/>
      <c r="C89" s="578"/>
      <c r="D89" s="578"/>
      <c r="E89" s="578"/>
      <c r="F89" s="578"/>
      <c r="G89" s="578"/>
      <c r="H89" s="578"/>
      <c r="I89" s="578"/>
      <c r="J89" s="578"/>
      <c r="K89" s="578"/>
      <c r="L89" s="578"/>
      <c r="M89" s="578"/>
      <c r="N89" s="578">
        <f>SUM(B89:M89)</f>
        <v>0</v>
      </c>
      <c r="P89" s="527" t="s">
        <v>791</v>
      </c>
      <c r="Q89" s="556">
        <f>'[1]DB SLS &amp; MKT'!B119</f>
        <v>0</v>
      </c>
      <c r="R89" s="556">
        <f>'[1]DB SLS &amp; MKT'!C119</f>
        <v>0</v>
      </c>
      <c r="S89" s="556">
        <f>'[1]DB SLS &amp; MKT'!D119</f>
        <v>0</v>
      </c>
      <c r="T89" s="556">
        <f>'[1]DB SLS &amp; MKT'!E119</f>
        <v>0</v>
      </c>
      <c r="U89" s="556">
        <f>'[1]DB SLS &amp; MKT'!F119</f>
        <v>0</v>
      </c>
      <c r="V89" s="556">
        <f>'[1]DB SLS &amp; MKT'!G119</f>
        <v>0</v>
      </c>
      <c r="W89" s="556">
        <f>'[1]DB SLS &amp; MKT'!H119</f>
        <v>0</v>
      </c>
      <c r="X89" s="556">
        <f>'[1]DB SLS &amp; MKT'!I119</f>
        <v>0</v>
      </c>
      <c r="Y89" s="556">
        <f>'[1]DB SLS &amp; MKT'!J119</f>
        <v>0</v>
      </c>
      <c r="Z89" s="556">
        <f>'[1]DB SLS &amp; MKT'!K119</f>
        <v>0</v>
      </c>
      <c r="AA89" s="556">
        <f>'[1]DB SLS &amp; MKT'!L119</f>
        <v>0</v>
      </c>
      <c r="AB89" s="556">
        <f>'[1]DB SLS &amp; MKT'!M119</f>
        <v>0</v>
      </c>
      <c r="AC89" s="556">
        <f t="shared" ref="AC89:AC91" si="20">SUM(Q89:AB89)</f>
        <v>0</v>
      </c>
    </row>
    <row r="90" spans="1:29" x14ac:dyDescent="0.25">
      <c r="A90" s="528" t="s">
        <v>782</v>
      </c>
      <c r="B90" s="578">
        <f>B89</f>
        <v>0</v>
      </c>
      <c r="C90" s="578">
        <f>SUM($B$89:C$89)</f>
        <v>0</v>
      </c>
      <c r="D90" s="578">
        <f>SUM($B$89:D$89)</f>
        <v>0</v>
      </c>
      <c r="E90" s="578">
        <f>SUM($B$89:E$89)</f>
        <v>0</v>
      </c>
      <c r="F90" s="578">
        <f>SUM($B$89:F$89)</f>
        <v>0</v>
      </c>
      <c r="G90" s="578">
        <f>SUM($B$89:G$89)</f>
        <v>0</v>
      </c>
      <c r="H90" s="578">
        <f>SUM($B$89:H$89)</f>
        <v>0</v>
      </c>
      <c r="I90" s="578">
        <f>SUM($B$89:I$89)</f>
        <v>0</v>
      </c>
      <c r="J90" s="578">
        <f>SUM($B$89:J$89)</f>
        <v>0</v>
      </c>
      <c r="K90" s="578">
        <f>SUM($B$89:K$89)</f>
        <v>0</v>
      </c>
      <c r="L90" s="578">
        <f>SUM($B$89:L$89)</f>
        <v>0</v>
      </c>
      <c r="M90" s="578">
        <f>SUM($B$89:M$89)</f>
        <v>0</v>
      </c>
      <c r="N90" s="578"/>
      <c r="P90" s="527" t="s">
        <v>792</v>
      </c>
      <c r="Q90" s="556">
        <f>'[1]DB BusDev'!B110</f>
        <v>0</v>
      </c>
      <c r="R90" s="556">
        <f>'[1]DB BusDev'!C110</f>
        <v>0</v>
      </c>
      <c r="S90" s="556">
        <f>'[1]DB BusDev'!D110</f>
        <v>0</v>
      </c>
      <c r="T90" s="556">
        <f>'[1]DB BusDev'!E110</f>
        <v>0</v>
      </c>
      <c r="U90" s="556">
        <f>'[1]DB BusDev'!F110</f>
        <v>0</v>
      </c>
      <c r="V90" s="556">
        <f>'[1]DB BusDev'!G110</f>
        <v>0</v>
      </c>
      <c r="W90" s="556">
        <f>'[1]DB BusDev'!H110</f>
        <v>0</v>
      </c>
      <c r="X90" s="556">
        <f>'[1]DB BusDev'!I110</f>
        <v>0</v>
      </c>
      <c r="Y90" s="556">
        <f>'[1]DB BusDev'!J110</f>
        <v>0</v>
      </c>
      <c r="Z90" s="556">
        <f>'[1]DB BusDev'!K110</f>
        <v>0</v>
      </c>
      <c r="AA90" s="556">
        <f>'[1]DB BusDev'!L110</f>
        <v>0</v>
      </c>
      <c r="AB90" s="556">
        <f>'[1]DB BusDev'!M110</f>
        <v>0</v>
      </c>
      <c r="AC90" s="556">
        <f t="shared" si="20"/>
        <v>0</v>
      </c>
    </row>
    <row r="91" spans="1:29" x14ac:dyDescent="0.25">
      <c r="A91" s="528" t="s">
        <v>783</v>
      </c>
      <c r="B91" s="545">
        <f t="shared" ref="B91:D91" si="21">IF(B89=0,1,B88/B89)</f>
        <v>1</v>
      </c>
      <c r="C91" s="545">
        <f t="shared" si="21"/>
        <v>1</v>
      </c>
      <c r="D91" s="545">
        <f t="shared" si="21"/>
        <v>1</v>
      </c>
      <c r="E91" s="545">
        <f>IF(E89=0,1,E88/E89)</f>
        <v>1</v>
      </c>
      <c r="F91" s="545">
        <f t="shared" ref="F91:N91" si="22">IF(F89=0,1,F88/F89)</f>
        <v>1</v>
      </c>
      <c r="G91" s="545">
        <f t="shared" si="22"/>
        <v>1</v>
      </c>
      <c r="H91" s="545">
        <f t="shared" si="22"/>
        <v>1</v>
      </c>
      <c r="I91" s="545">
        <f t="shared" si="22"/>
        <v>1</v>
      </c>
      <c r="J91" s="545">
        <f t="shared" si="22"/>
        <v>1</v>
      </c>
      <c r="K91" s="545">
        <f t="shared" si="22"/>
        <v>1</v>
      </c>
      <c r="L91" s="545">
        <f t="shared" si="22"/>
        <v>1</v>
      </c>
      <c r="M91" s="545">
        <f t="shared" si="22"/>
        <v>1</v>
      </c>
      <c r="N91" s="545">
        <f t="shared" si="22"/>
        <v>1</v>
      </c>
      <c r="P91" s="527" t="s">
        <v>797</v>
      </c>
      <c r="Q91" s="556">
        <f>'[1]DB Dir Prod'!B104</f>
        <v>0</v>
      </c>
      <c r="R91" s="556">
        <f>'[1]DB Dir Prod'!C104</f>
        <v>0</v>
      </c>
      <c r="S91" s="556">
        <f>'[1]DB Dir Prod'!D104</f>
        <v>0</v>
      </c>
      <c r="T91" s="556">
        <f>'[1]DB Dir Prod'!E104</f>
        <v>0</v>
      </c>
      <c r="U91" s="556">
        <f>'[1]DB Dir Prod'!F104</f>
        <v>0</v>
      </c>
      <c r="V91" s="556">
        <f>'[1]DB Dir Prod'!G104</f>
        <v>0</v>
      </c>
      <c r="W91" s="556">
        <f>'[1]DB Dir Prod'!H104</f>
        <v>0</v>
      </c>
      <c r="X91" s="556">
        <f>'[1]DB Dir Prod'!I104</f>
        <v>0</v>
      </c>
      <c r="Y91" s="556">
        <f>'[1]DB Dir Prod'!J104</f>
        <v>0</v>
      </c>
      <c r="Z91" s="556">
        <f>'[1]DB Dir Prod'!K104</f>
        <v>0</v>
      </c>
      <c r="AA91" s="556">
        <f>'[1]DB Dir Prod'!L104</f>
        <v>0</v>
      </c>
      <c r="AB91" s="556">
        <f>'[1]DB Dir Prod'!M104</f>
        <v>0</v>
      </c>
      <c r="AC91" s="556">
        <f t="shared" si="20"/>
        <v>0</v>
      </c>
    </row>
    <row r="92" spans="1:29" x14ac:dyDescent="0.25">
      <c r="A92" s="528" t="s">
        <v>784</v>
      </c>
      <c r="B92" s="534">
        <f>B91</f>
        <v>1</v>
      </c>
      <c r="C92" s="534">
        <f>SUM($B$91:C$91)/COUNT($B$91:C$91)</f>
        <v>1</v>
      </c>
      <c r="D92" s="534">
        <f>SUM($B$91:D$91)/COUNT($B$91:D$91)</f>
        <v>1</v>
      </c>
      <c r="E92" s="534">
        <f>SUM($B$91:E$91)/COUNT($B$91:E$91)</f>
        <v>1</v>
      </c>
      <c r="F92" s="534">
        <f>SUM($B$91:F$91)/COUNT($B$91:F$91)</f>
        <v>1</v>
      </c>
      <c r="G92" s="534">
        <f>SUM($B$91:G$91)/COUNT($B$91:G$91)</f>
        <v>1</v>
      </c>
      <c r="H92" s="534">
        <f>SUM($B$91:H$91)/COUNT($B$91:H$91)</f>
        <v>1</v>
      </c>
      <c r="I92" s="534">
        <f>SUM($B$91:I$91)/COUNT($B$91:I$91)</f>
        <v>1</v>
      </c>
      <c r="J92" s="534">
        <f>SUM($B$91:J$91)/COUNT($B$91:J$91)</f>
        <v>1</v>
      </c>
      <c r="K92" s="534">
        <f>SUM($B$91:K$91)/COUNT($B$91:K$91)</f>
        <v>1</v>
      </c>
      <c r="L92" s="534">
        <f>SUM($B$91:L$91)/COUNT($B$91:L$91)</f>
        <v>1</v>
      </c>
      <c r="M92" s="534">
        <f>SUM($B$91:M$91)/COUNT($B$91:M$91)</f>
        <v>1</v>
      </c>
      <c r="N92" s="534"/>
      <c r="P92" s="527" t="s">
        <v>793</v>
      </c>
      <c r="Q92" s="551">
        <f>SUM(Q88:Q91)</f>
        <v>0</v>
      </c>
      <c r="R92" s="551">
        <f t="shared" ref="R92:AC92" si="23">SUM(R88:R91)</f>
        <v>0</v>
      </c>
      <c r="S92" s="551">
        <f t="shared" si="23"/>
        <v>0</v>
      </c>
      <c r="T92" s="551">
        <f t="shared" si="23"/>
        <v>0</v>
      </c>
      <c r="U92" s="551">
        <f t="shared" si="23"/>
        <v>0</v>
      </c>
      <c r="V92" s="551">
        <f t="shared" si="23"/>
        <v>0</v>
      </c>
      <c r="W92" s="551">
        <f t="shared" si="23"/>
        <v>0</v>
      </c>
      <c r="X92" s="551">
        <f t="shared" si="23"/>
        <v>0</v>
      </c>
      <c r="Y92" s="551">
        <f t="shared" si="23"/>
        <v>0</v>
      </c>
      <c r="Z92" s="551">
        <f t="shared" si="23"/>
        <v>0</v>
      </c>
      <c r="AA92" s="551">
        <f t="shared" si="23"/>
        <v>0</v>
      </c>
      <c r="AB92" s="551">
        <f t="shared" si="23"/>
        <v>0</v>
      </c>
      <c r="AC92" s="551">
        <f t="shared" si="23"/>
        <v>0</v>
      </c>
    </row>
    <row r="95" spans="1:29" x14ac:dyDescent="0.25">
      <c r="A95" s="528" t="s">
        <v>678</v>
      </c>
      <c r="B95" s="553" t="s">
        <v>704</v>
      </c>
      <c r="C95" s="553" t="s">
        <v>705</v>
      </c>
      <c r="D95" s="553" t="s">
        <v>706</v>
      </c>
      <c r="E95" s="553" t="s">
        <v>707</v>
      </c>
      <c r="F95" s="553" t="s">
        <v>709</v>
      </c>
      <c r="G95" s="553" t="s">
        <v>780</v>
      </c>
      <c r="H95" s="553" t="s">
        <v>711</v>
      </c>
      <c r="I95" s="553" t="s">
        <v>715</v>
      </c>
      <c r="J95" s="553" t="s">
        <v>717</v>
      </c>
      <c r="K95" s="553" t="s">
        <v>720</v>
      </c>
      <c r="L95" s="553" t="s">
        <v>723</v>
      </c>
      <c r="M95" s="553" t="s">
        <v>725</v>
      </c>
      <c r="N95" s="553" t="s">
        <v>728</v>
      </c>
    </row>
    <row r="96" spans="1:29" x14ac:dyDescent="0.25">
      <c r="A96" s="528" t="s">
        <v>795</v>
      </c>
      <c r="B96" s="536"/>
      <c r="C96" s="536"/>
      <c r="D96" s="536"/>
      <c r="E96" s="536"/>
      <c r="F96" s="536"/>
      <c r="G96" s="536"/>
      <c r="H96" s="536"/>
      <c r="I96" s="536"/>
      <c r="J96" s="536"/>
      <c r="K96" s="536"/>
      <c r="L96" s="536"/>
      <c r="M96" s="536"/>
      <c r="N96" s="536">
        <f>SUM(B96:M96)</f>
        <v>0</v>
      </c>
    </row>
    <row r="97" spans="1:28" x14ac:dyDescent="0.25">
      <c r="A97" s="528" t="s">
        <v>791</v>
      </c>
      <c r="B97" s="536"/>
      <c r="C97" s="536"/>
      <c r="D97" s="536"/>
      <c r="E97" s="536"/>
      <c r="F97" s="536"/>
      <c r="G97" s="536"/>
      <c r="H97" s="536"/>
      <c r="I97" s="536"/>
      <c r="J97" s="536"/>
      <c r="K97" s="536"/>
      <c r="L97" s="536"/>
      <c r="M97" s="536"/>
      <c r="N97" s="536">
        <f t="shared" ref="N97:N99" si="24">SUM(B97:M97)</f>
        <v>0</v>
      </c>
    </row>
    <row r="98" spans="1:28" x14ac:dyDescent="0.25">
      <c r="A98" s="528" t="s">
        <v>792</v>
      </c>
      <c r="B98" s="536"/>
      <c r="C98" s="536"/>
      <c r="D98" s="536"/>
      <c r="E98" s="536"/>
      <c r="F98" s="536"/>
      <c r="G98" s="536"/>
      <c r="H98" s="536"/>
      <c r="I98" s="536"/>
      <c r="J98" s="536"/>
      <c r="K98" s="536"/>
      <c r="L98" s="536"/>
      <c r="M98" s="536"/>
      <c r="N98" s="536">
        <f t="shared" si="24"/>
        <v>0</v>
      </c>
    </row>
    <row r="99" spans="1:28" x14ac:dyDescent="0.25">
      <c r="A99" s="528" t="s">
        <v>797</v>
      </c>
      <c r="B99" s="536"/>
      <c r="C99" s="536"/>
      <c r="D99" s="536"/>
      <c r="E99" s="536"/>
      <c r="F99" s="536"/>
      <c r="G99" s="536"/>
      <c r="H99" s="536"/>
      <c r="I99" s="536"/>
      <c r="J99" s="536"/>
      <c r="K99" s="536"/>
      <c r="L99" s="536"/>
      <c r="M99" s="536"/>
      <c r="N99" s="536">
        <f t="shared" si="24"/>
        <v>0</v>
      </c>
    </row>
    <row r="100" spans="1:28" x14ac:dyDescent="0.25">
      <c r="A100" s="528" t="s">
        <v>793</v>
      </c>
      <c r="B100" s="530">
        <f t="shared" ref="B100:N100" si="25">SUM(B96:B99)</f>
        <v>0</v>
      </c>
      <c r="C100" s="530">
        <f t="shared" si="25"/>
        <v>0</v>
      </c>
      <c r="D100" s="530">
        <f t="shared" si="25"/>
        <v>0</v>
      </c>
      <c r="E100" s="530">
        <f t="shared" si="25"/>
        <v>0</v>
      </c>
      <c r="F100" s="530">
        <f t="shared" si="25"/>
        <v>0</v>
      </c>
      <c r="G100" s="530">
        <f t="shared" si="25"/>
        <v>0</v>
      </c>
      <c r="H100" s="530">
        <f t="shared" si="25"/>
        <v>0</v>
      </c>
      <c r="I100" s="530">
        <f t="shared" si="25"/>
        <v>0</v>
      </c>
      <c r="J100" s="530">
        <f t="shared" si="25"/>
        <v>0</v>
      </c>
      <c r="K100" s="530">
        <f t="shared" si="25"/>
        <v>0</v>
      </c>
      <c r="L100" s="530">
        <f t="shared" si="25"/>
        <v>0</v>
      </c>
      <c r="M100" s="530">
        <f t="shared" si="25"/>
        <v>0</v>
      </c>
      <c r="N100" s="530">
        <f t="shared" si="25"/>
        <v>0</v>
      </c>
    </row>
    <row r="101" spans="1:28" x14ac:dyDescent="0.25">
      <c r="A101" s="528" t="s">
        <v>793</v>
      </c>
      <c r="B101" s="530">
        <f>B100</f>
        <v>0</v>
      </c>
      <c r="C101" s="530">
        <f>SUM($B$100:C$100)</f>
        <v>0</v>
      </c>
      <c r="D101" s="530">
        <f>SUM($B$100:D$100)</f>
        <v>0</v>
      </c>
      <c r="E101" s="530">
        <f>SUM($B$100:E$100)</f>
        <v>0</v>
      </c>
      <c r="F101" s="530">
        <f>SUM($B$100:F$100)</f>
        <v>0</v>
      </c>
      <c r="G101" s="530">
        <f>SUM($B$100:G$100)</f>
        <v>0</v>
      </c>
      <c r="H101" s="530">
        <f>SUM($B$100:H$100)</f>
        <v>0</v>
      </c>
      <c r="I101" s="530">
        <f>SUM($B$100:I$100)</f>
        <v>0</v>
      </c>
      <c r="J101" s="530">
        <f>SUM($B$100:J$100)</f>
        <v>0</v>
      </c>
      <c r="K101" s="530">
        <f>SUM($B$100:K$100)</f>
        <v>0</v>
      </c>
      <c r="L101" s="530">
        <f>SUM($B$100:L$100)</f>
        <v>0</v>
      </c>
      <c r="M101" s="530">
        <f>SUM($B$100:M$100)</f>
        <v>0</v>
      </c>
      <c r="N101" s="530">
        <f>M101</f>
        <v>0</v>
      </c>
    </row>
    <row r="104" spans="1:28" x14ac:dyDescent="0.25">
      <c r="A104" s="528" t="s">
        <v>810</v>
      </c>
      <c r="B104" s="553" t="s">
        <v>704</v>
      </c>
      <c r="C104" s="553" t="s">
        <v>705</v>
      </c>
      <c r="D104" s="553" t="s">
        <v>706</v>
      </c>
      <c r="E104" s="553" t="s">
        <v>707</v>
      </c>
      <c r="F104" s="553" t="s">
        <v>709</v>
      </c>
      <c r="G104" s="553" t="s">
        <v>780</v>
      </c>
      <c r="H104" s="553" t="s">
        <v>711</v>
      </c>
      <c r="I104" s="553" t="s">
        <v>715</v>
      </c>
      <c r="J104" s="553" t="s">
        <v>717</v>
      </c>
      <c r="K104" s="553" t="s">
        <v>720</v>
      </c>
      <c r="L104" s="553" t="s">
        <v>723</v>
      </c>
      <c r="M104" s="553" t="s">
        <v>725</v>
      </c>
      <c r="N104" s="553" t="s">
        <v>728</v>
      </c>
    </row>
    <row r="105" spans="1:28" x14ac:dyDescent="0.25">
      <c r="A105" s="528" t="s">
        <v>795</v>
      </c>
      <c r="B105" s="536"/>
      <c r="C105" s="536"/>
      <c r="D105" s="536"/>
      <c r="E105" s="536"/>
      <c r="F105" s="536"/>
      <c r="G105" s="536"/>
      <c r="H105" s="536"/>
      <c r="I105" s="536"/>
      <c r="J105" s="536"/>
      <c r="K105" s="536"/>
      <c r="L105" s="536"/>
      <c r="M105" s="536"/>
      <c r="N105" s="536">
        <f>SUM(B105:M105)</f>
        <v>0</v>
      </c>
    </row>
    <row r="106" spans="1:28" x14ac:dyDescent="0.25">
      <c r="A106" s="528" t="s">
        <v>846</v>
      </c>
      <c r="B106" s="536"/>
      <c r="C106" s="536"/>
      <c r="D106" s="536"/>
      <c r="E106" s="536"/>
      <c r="F106" s="536"/>
      <c r="G106" s="536"/>
      <c r="H106" s="536"/>
      <c r="I106" s="536"/>
      <c r="J106" s="536"/>
      <c r="K106" s="536"/>
      <c r="L106" s="536"/>
      <c r="M106" s="536"/>
      <c r="N106" s="536">
        <f t="shared" ref="N106:N107" si="26">SUM(B106:M106)</f>
        <v>0</v>
      </c>
    </row>
    <row r="107" spans="1:28" x14ac:dyDescent="0.25">
      <c r="A107" s="528" t="s">
        <v>847</v>
      </c>
      <c r="B107" s="536"/>
      <c r="C107" s="536"/>
      <c r="D107" s="536"/>
      <c r="E107" s="536"/>
      <c r="F107" s="536"/>
      <c r="G107" s="536"/>
      <c r="H107" s="536"/>
      <c r="I107" s="536"/>
      <c r="J107" s="536"/>
      <c r="K107" s="536"/>
      <c r="L107" s="536"/>
      <c r="M107" s="536"/>
      <c r="N107" s="536">
        <f t="shared" si="26"/>
        <v>0</v>
      </c>
    </row>
    <row r="108" spans="1:28" x14ac:dyDescent="0.25">
      <c r="A108" s="528" t="s">
        <v>811</v>
      </c>
      <c r="B108" s="557">
        <f>SUM(B105:B107)</f>
        <v>0</v>
      </c>
      <c r="C108" s="557">
        <f t="shared" ref="C108:N108" si="27">SUM(C105:C107)</f>
        <v>0</v>
      </c>
      <c r="D108" s="557">
        <f t="shared" si="27"/>
        <v>0</v>
      </c>
      <c r="E108" s="557">
        <f t="shared" si="27"/>
        <v>0</v>
      </c>
      <c r="F108" s="557">
        <f t="shared" si="27"/>
        <v>0</v>
      </c>
      <c r="G108" s="557">
        <f t="shared" si="27"/>
        <v>0</v>
      </c>
      <c r="H108" s="557">
        <f t="shared" si="27"/>
        <v>0</v>
      </c>
      <c r="I108" s="557">
        <f t="shared" si="27"/>
        <v>0</v>
      </c>
      <c r="J108" s="557">
        <f t="shared" si="27"/>
        <v>0</v>
      </c>
      <c r="K108" s="557">
        <f t="shared" si="27"/>
        <v>0</v>
      </c>
      <c r="L108" s="557">
        <f t="shared" si="27"/>
        <v>0</v>
      </c>
      <c r="M108" s="557">
        <f t="shared" si="27"/>
        <v>0</v>
      </c>
      <c r="N108" s="557">
        <f t="shared" si="27"/>
        <v>0</v>
      </c>
    </row>
    <row r="111" spans="1:28" x14ac:dyDescent="0.25">
      <c r="A111" s="526" t="s">
        <v>812</v>
      </c>
      <c r="B111" s="527">
        <v>8</v>
      </c>
      <c r="P111" s="558"/>
      <c r="Q111" s="558"/>
      <c r="R111" s="558"/>
      <c r="S111" s="558"/>
      <c r="T111" s="558"/>
      <c r="U111" s="558"/>
      <c r="V111" s="558"/>
      <c r="W111" s="558"/>
      <c r="X111" s="558"/>
      <c r="Y111" s="558"/>
      <c r="Z111" s="558"/>
      <c r="AA111" s="558"/>
      <c r="AB111" s="558"/>
    </row>
    <row r="112" spans="1:28" ht="30" x14ac:dyDescent="0.25">
      <c r="A112" s="559" t="s">
        <v>813</v>
      </c>
      <c r="B112" s="560" t="s">
        <v>704</v>
      </c>
      <c r="C112" s="560" t="s">
        <v>705</v>
      </c>
      <c r="D112" s="560" t="s">
        <v>706</v>
      </c>
      <c r="E112" s="560" t="s">
        <v>707</v>
      </c>
      <c r="F112" s="560" t="s">
        <v>709</v>
      </c>
      <c r="G112" s="560" t="s">
        <v>780</v>
      </c>
      <c r="H112" s="560" t="s">
        <v>711</v>
      </c>
      <c r="I112" s="560" t="s">
        <v>715</v>
      </c>
      <c r="J112" s="560" t="s">
        <v>717</v>
      </c>
      <c r="K112" s="560" t="s">
        <v>720</v>
      </c>
      <c r="L112" s="560" t="s">
        <v>723</v>
      </c>
      <c r="M112" s="560" t="s">
        <v>725</v>
      </c>
      <c r="N112" s="553" t="s">
        <v>728</v>
      </c>
      <c r="O112" s="554"/>
      <c r="P112" s="550" t="s">
        <v>704</v>
      </c>
      <c r="Q112" s="550" t="s">
        <v>705</v>
      </c>
      <c r="R112" s="550" t="s">
        <v>706</v>
      </c>
      <c r="S112" s="550" t="s">
        <v>707</v>
      </c>
      <c r="T112" s="550" t="s">
        <v>709</v>
      </c>
      <c r="U112" s="550" t="s">
        <v>780</v>
      </c>
      <c r="V112" s="550" t="s">
        <v>711</v>
      </c>
      <c r="W112" s="550" t="s">
        <v>715</v>
      </c>
      <c r="X112" s="550" t="s">
        <v>717</v>
      </c>
      <c r="Y112" s="550" t="s">
        <v>720</v>
      </c>
      <c r="Z112" s="550" t="s">
        <v>723</v>
      </c>
      <c r="AA112" s="550" t="s">
        <v>725</v>
      </c>
      <c r="AB112" s="550" t="s">
        <v>728</v>
      </c>
    </row>
    <row r="113" spans="1:28" x14ac:dyDescent="0.25">
      <c r="A113" s="528" t="s">
        <v>640</v>
      </c>
      <c r="B113" s="561"/>
      <c r="C113" s="561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1">
        <f>SUM(B113:M113)</f>
        <v>0</v>
      </c>
      <c r="P113" s="920" t="s">
        <v>814</v>
      </c>
      <c r="Q113" s="921">
        <v>0</v>
      </c>
      <c r="R113" s="921" t="s">
        <v>815</v>
      </c>
      <c r="S113" s="921" t="s">
        <v>816</v>
      </c>
      <c r="T113" s="921"/>
      <c r="U113" s="921"/>
      <c r="V113" s="921"/>
      <c r="W113" s="921"/>
      <c r="X113" s="921"/>
      <c r="Y113" s="921"/>
      <c r="Z113" s="921"/>
      <c r="AA113" s="921"/>
      <c r="AB113" s="921"/>
    </row>
    <row r="114" spans="1:28" x14ac:dyDescent="0.25">
      <c r="A114" s="528" t="s">
        <v>782</v>
      </c>
      <c r="B114" s="537">
        <f>B113</f>
        <v>0</v>
      </c>
      <c r="C114" s="537">
        <f>SUM($B$113:C$113)</f>
        <v>0</v>
      </c>
      <c r="D114" s="537">
        <f>SUM($B$113:D$113)</f>
        <v>0</v>
      </c>
      <c r="E114" s="537">
        <f>SUM($B$113:E$113)</f>
        <v>0</v>
      </c>
      <c r="F114" s="537">
        <f>SUM($B$113:F$113)</f>
        <v>0</v>
      </c>
      <c r="G114" s="537">
        <f>SUM($B$113:G$113)</f>
        <v>0</v>
      </c>
      <c r="H114" s="537">
        <f>SUM($B$113:H$113)</f>
        <v>0</v>
      </c>
      <c r="I114" s="537">
        <f>SUM($B$113:I$113)</f>
        <v>0</v>
      </c>
      <c r="J114" s="537">
        <f>SUM($B$113:J$113)</f>
        <v>0</v>
      </c>
      <c r="K114" s="537">
        <f>SUM($B$113:K$113)</f>
        <v>0</v>
      </c>
      <c r="L114" s="537">
        <f>SUM($B$113:L$113)</f>
        <v>0</v>
      </c>
      <c r="M114" s="537">
        <f>SUM($B$113:M$113)</f>
        <v>0</v>
      </c>
      <c r="N114" s="537">
        <f>M114</f>
        <v>0</v>
      </c>
      <c r="P114" s="920"/>
      <c r="Q114" s="921"/>
      <c r="R114" s="921"/>
      <c r="S114" s="921"/>
      <c r="T114" s="921"/>
      <c r="U114" s="921"/>
      <c r="V114" s="921"/>
      <c r="W114" s="921"/>
      <c r="X114" s="921"/>
      <c r="Y114" s="921"/>
      <c r="Z114" s="921"/>
      <c r="AA114" s="921"/>
      <c r="AB114" s="921"/>
    </row>
    <row r="115" spans="1:28" x14ac:dyDescent="0.25">
      <c r="A115" s="528" t="s">
        <v>817</v>
      </c>
      <c r="B115" s="545">
        <f>B113/$B$111</f>
        <v>0</v>
      </c>
      <c r="C115" s="545">
        <f t="shared" ref="C115:M116" si="28">C113/$B$111</f>
        <v>0</v>
      </c>
      <c r="D115" s="545">
        <f t="shared" si="28"/>
        <v>0</v>
      </c>
      <c r="E115" s="545">
        <f t="shared" si="28"/>
        <v>0</v>
      </c>
      <c r="F115" s="545">
        <f t="shared" si="28"/>
        <v>0</v>
      </c>
      <c r="G115" s="545">
        <f t="shared" si="28"/>
        <v>0</v>
      </c>
      <c r="H115" s="545">
        <f t="shared" si="28"/>
        <v>0</v>
      </c>
      <c r="I115" s="545">
        <f t="shared" si="28"/>
        <v>0</v>
      </c>
      <c r="J115" s="545">
        <f t="shared" si="28"/>
        <v>0</v>
      </c>
      <c r="K115" s="545">
        <f t="shared" si="28"/>
        <v>0</v>
      </c>
      <c r="L115" s="545">
        <f t="shared" si="28"/>
        <v>0</v>
      </c>
      <c r="M115" s="545">
        <f t="shared" si="28"/>
        <v>0</v>
      </c>
      <c r="N115" s="545" t="e">
        <f>N113/N114</f>
        <v>#DIV/0!</v>
      </c>
      <c r="P115" s="920"/>
      <c r="Q115" s="921"/>
      <c r="R115" s="921"/>
      <c r="S115" s="921"/>
      <c r="T115" s="921"/>
      <c r="U115" s="921"/>
      <c r="V115" s="921"/>
      <c r="W115" s="921"/>
      <c r="X115" s="921"/>
      <c r="Y115" s="921"/>
      <c r="Z115" s="921"/>
      <c r="AA115" s="921"/>
      <c r="AB115" s="921"/>
    </row>
    <row r="116" spans="1:28" x14ac:dyDescent="0.25">
      <c r="A116" s="528" t="s">
        <v>818</v>
      </c>
      <c r="B116" s="545">
        <f>B114/$B$111</f>
        <v>0</v>
      </c>
      <c r="C116" s="545">
        <f t="shared" si="28"/>
        <v>0</v>
      </c>
      <c r="D116" s="545">
        <f t="shared" si="28"/>
        <v>0</v>
      </c>
      <c r="E116" s="545">
        <f t="shared" si="28"/>
        <v>0</v>
      </c>
      <c r="F116" s="545">
        <f t="shared" si="28"/>
        <v>0</v>
      </c>
      <c r="G116" s="545">
        <f t="shared" si="28"/>
        <v>0</v>
      </c>
      <c r="H116" s="545">
        <f t="shared" si="28"/>
        <v>0</v>
      </c>
      <c r="I116" s="545">
        <f t="shared" si="28"/>
        <v>0</v>
      </c>
      <c r="J116" s="545">
        <f t="shared" si="28"/>
        <v>0</v>
      </c>
      <c r="K116" s="545">
        <f t="shared" si="28"/>
        <v>0</v>
      </c>
      <c r="L116" s="545">
        <f t="shared" si="28"/>
        <v>0</v>
      </c>
      <c r="M116" s="545">
        <f t="shared" si="28"/>
        <v>0</v>
      </c>
      <c r="N116" s="545"/>
      <c r="P116" s="920"/>
      <c r="Q116" s="921"/>
      <c r="R116" s="921"/>
      <c r="S116" s="921"/>
      <c r="T116" s="921"/>
      <c r="U116" s="921"/>
      <c r="V116" s="921"/>
      <c r="W116" s="921"/>
      <c r="X116" s="921"/>
      <c r="Y116" s="921"/>
      <c r="Z116" s="921"/>
      <c r="AA116" s="921"/>
      <c r="AB116" s="921"/>
    </row>
    <row r="119" spans="1:28" x14ac:dyDescent="0.25">
      <c r="A119" s="526" t="s">
        <v>812</v>
      </c>
      <c r="B119" s="527">
        <v>5</v>
      </c>
      <c r="P119" s="558"/>
      <c r="Q119" s="558"/>
      <c r="R119" s="558"/>
      <c r="S119" s="558"/>
      <c r="T119" s="558"/>
      <c r="U119" s="558"/>
      <c r="V119" s="558"/>
      <c r="W119" s="558"/>
      <c r="X119" s="558"/>
      <c r="Y119" s="558"/>
      <c r="Z119" s="558"/>
      <c r="AA119" s="558"/>
      <c r="AB119" s="558"/>
    </row>
    <row r="120" spans="1:28" ht="30" x14ac:dyDescent="0.25">
      <c r="A120" s="559" t="s">
        <v>819</v>
      </c>
      <c r="B120" s="560" t="s">
        <v>704</v>
      </c>
      <c r="C120" s="560" t="s">
        <v>705</v>
      </c>
      <c r="D120" s="560" t="s">
        <v>706</v>
      </c>
      <c r="E120" s="560" t="s">
        <v>707</v>
      </c>
      <c r="F120" s="560" t="s">
        <v>709</v>
      </c>
      <c r="G120" s="560" t="s">
        <v>780</v>
      </c>
      <c r="H120" s="560" t="s">
        <v>711</v>
      </c>
      <c r="I120" s="560" t="s">
        <v>715</v>
      </c>
      <c r="J120" s="560" t="s">
        <v>717</v>
      </c>
      <c r="K120" s="560" t="s">
        <v>720</v>
      </c>
      <c r="L120" s="560" t="s">
        <v>723</v>
      </c>
      <c r="M120" s="560" t="s">
        <v>725</v>
      </c>
      <c r="N120" s="553" t="s">
        <v>728</v>
      </c>
      <c r="O120" s="554"/>
      <c r="P120" s="550" t="s">
        <v>704</v>
      </c>
      <c r="Q120" s="550" t="s">
        <v>705</v>
      </c>
      <c r="R120" s="550" t="s">
        <v>706</v>
      </c>
      <c r="S120" s="550" t="s">
        <v>707</v>
      </c>
      <c r="T120" s="550" t="s">
        <v>709</v>
      </c>
      <c r="U120" s="550" t="s">
        <v>780</v>
      </c>
      <c r="V120" s="550" t="s">
        <v>711</v>
      </c>
      <c r="W120" s="550" t="s">
        <v>715</v>
      </c>
      <c r="X120" s="550" t="s">
        <v>717</v>
      </c>
      <c r="Y120" s="550" t="s">
        <v>720</v>
      </c>
      <c r="Z120" s="550" t="s">
        <v>723</v>
      </c>
      <c r="AA120" s="550" t="s">
        <v>725</v>
      </c>
      <c r="AB120" s="550" t="s">
        <v>728</v>
      </c>
    </row>
    <row r="121" spans="1:28" ht="15.75" x14ac:dyDescent="0.25">
      <c r="A121" s="528" t="s">
        <v>640</v>
      </c>
      <c r="B121" s="562"/>
      <c r="C121" s="562"/>
      <c r="D121" s="562"/>
      <c r="E121" s="562"/>
      <c r="F121" s="562"/>
      <c r="G121" s="562"/>
      <c r="H121" s="562"/>
      <c r="I121" s="562"/>
      <c r="J121" s="562"/>
      <c r="K121" s="562"/>
      <c r="L121" s="562"/>
      <c r="M121" s="562"/>
      <c r="N121" s="561">
        <f>SUM(B121:M121)</f>
        <v>0</v>
      </c>
      <c r="P121" s="922" t="s">
        <v>820</v>
      </c>
      <c r="Q121" s="921">
        <v>0</v>
      </c>
      <c r="R121" s="923" t="s">
        <v>821</v>
      </c>
      <c r="S121" s="921"/>
      <c r="T121" s="921"/>
      <c r="U121" s="921"/>
      <c r="V121" s="921"/>
      <c r="W121" s="921"/>
      <c r="X121" s="921"/>
      <c r="Y121" s="921"/>
      <c r="Z121" s="921"/>
      <c r="AA121" s="921"/>
      <c r="AB121" s="921"/>
    </row>
    <row r="122" spans="1:28" x14ac:dyDescent="0.25">
      <c r="A122" s="528" t="s">
        <v>782</v>
      </c>
      <c r="B122" s="537">
        <f>B121</f>
        <v>0</v>
      </c>
      <c r="C122" s="537">
        <f>SUM($B$121:C$121)</f>
        <v>0</v>
      </c>
      <c r="D122" s="537">
        <f>SUM($B$121:D$121)</f>
        <v>0</v>
      </c>
      <c r="E122" s="537">
        <f>SUM($B$121:E$121)</f>
        <v>0</v>
      </c>
      <c r="F122" s="537">
        <f>SUM($B$121:F$121)</f>
        <v>0</v>
      </c>
      <c r="G122" s="537">
        <f>SUM($B$121:G$121)</f>
        <v>0</v>
      </c>
      <c r="H122" s="537">
        <f>SUM($B$121:H$121)</f>
        <v>0</v>
      </c>
      <c r="I122" s="537">
        <f>SUM($B$121:I$121)</f>
        <v>0</v>
      </c>
      <c r="J122" s="537">
        <f>SUM($B$121:J$121)</f>
        <v>0</v>
      </c>
      <c r="K122" s="537">
        <f>SUM($B$121:K$121)</f>
        <v>0</v>
      </c>
      <c r="L122" s="537">
        <f>SUM($B$121:L$121)</f>
        <v>0</v>
      </c>
      <c r="M122" s="537">
        <f>SUM($B$121:M$121)</f>
        <v>0</v>
      </c>
      <c r="N122" s="537">
        <f>M122</f>
        <v>0</v>
      </c>
      <c r="P122" s="922"/>
      <c r="Q122" s="921"/>
      <c r="R122" s="923"/>
      <c r="S122" s="921"/>
      <c r="T122" s="921"/>
      <c r="U122" s="921"/>
      <c r="V122" s="921"/>
      <c r="W122" s="921"/>
      <c r="X122" s="921"/>
      <c r="Y122" s="921"/>
      <c r="Z122" s="921"/>
      <c r="AA122" s="921"/>
      <c r="AB122" s="921"/>
    </row>
    <row r="123" spans="1:28" x14ac:dyDescent="0.25">
      <c r="A123" s="528" t="s">
        <v>817</v>
      </c>
      <c r="B123" s="545">
        <f>B121/$B$119</f>
        <v>0</v>
      </c>
      <c r="C123" s="545">
        <f t="shared" ref="C123:N124" si="29">C121/$B$119</f>
        <v>0</v>
      </c>
      <c r="D123" s="545">
        <f t="shared" si="29"/>
        <v>0</v>
      </c>
      <c r="E123" s="545">
        <f t="shared" si="29"/>
        <v>0</v>
      </c>
      <c r="F123" s="545">
        <f t="shared" si="29"/>
        <v>0</v>
      </c>
      <c r="G123" s="545">
        <f t="shared" si="29"/>
        <v>0</v>
      </c>
      <c r="H123" s="545">
        <f t="shared" si="29"/>
        <v>0</v>
      </c>
      <c r="I123" s="545">
        <f t="shared" si="29"/>
        <v>0</v>
      </c>
      <c r="J123" s="545">
        <f t="shared" si="29"/>
        <v>0</v>
      </c>
      <c r="K123" s="545">
        <f t="shared" si="29"/>
        <v>0</v>
      </c>
      <c r="L123" s="545">
        <f t="shared" si="29"/>
        <v>0</v>
      </c>
      <c r="M123" s="545">
        <f t="shared" si="29"/>
        <v>0</v>
      </c>
      <c r="N123" s="545">
        <f t="shared" si="29"/>
        <v>0</v>
      </c>
      <c r="P123" s="922"/>
      <c r="Q123" s="921"/>
      <c r="R123" s="923"/>
      <c r="S123" s="921"/>
      <c r="T123" s="921"/>
      <c r="U123" s="921"/>
      <c r="V123" s="921"/>
      <c r="W123" s="921"/>
      <c r="X123" s="921"/>
      <c r="Y123" s="921"/>
      <c r="Z123" s="921"/>
      <c r="AA123" s="921"/>
      <c r="AB123" s="921"/>
    </row>
    <row r="124" spans="1:28" x14ac:dyDescent="0.25">
      <c r="A124" s="528" t="s">
        <v>783</v>
      </c>
      <c r="B124" s="545">
        <f>B123</f>
        <v>0</v>
      </c>
      <c r="C124" s="545">
        <f>C122/$B$119</f>
        <v>0</v>
      </c>
      <c r="D124" s="545">
        <f t="shared" si="29"/>
        <v>0</v>
      </c>
      <c r="E124" s="545">
        <f t="shared" si="29"/>
        <v>0</v>
      </c>
      <c r="F124" s="545">
        <f t="shared" si="29"/>
        <v>0</v>
      </c>
      <c r="G124" s="545">
        <f t="shared" si="29"/>
        <v>0</v>
      </c>
      <c r="H124" s="545">
        <f t="shared" si="29"/>
        <v>0</v>
      </c>
      <c r="I124" s="545">
        <f t="shared" si="29"/>
        <v>0</v>
      </c>
      <c r="J124" s="545">
        <f t="shared" si="29"/>
        <v>0</v>
      </c>
      <c r="K124" s="545">
        <f t="shared" si="29"/>
        <v>0</v>
      </c>
      <c r="L124" s="545">
        <f t="shared" si="29"/>
        <v>0</v>
      </c>
      <c r="M124" s="545">
        <f t="shared" si="29"/>
        <v>0</v>
      </c>
      <c r="N124" s="545"/>
      <c r="P124" s="922"/>
      <c r="Q124" s="921"/>
      <c r="R124" s="923"/>
      <c r="S124" s="921"/>
      <c r="T124" s="921"/>
      <c r="U124" s="921"/>
      <c r="V124" s="921"/>
      <c r="W124" s="921"/>
      <c r="X124" s="921"/>
      <c r="Y124" s="921"/>
      <c r="Z124" s="921"/>
      <c r="AA124" s="921"/>
      <c r="AB124" s="921"/>
    </row>
    <row r="127" spans="1:28" x14ac:dyDescent="0.25">
      <c r="A127" s="549" t="s">
        <v>822</v>
      </c>
      <c r="B127" s="550" t="s">
        <v>704</v>
      </c>
      <c r="C127" s="550" t="s">
        <v>705</v>
      </c>
      <c r="D127" s="550" t="s">
        <v>706</v>
      </c>
      <c r="E127" s="550" t="s">
        <v>707</v>
      </c>
      <c r="F127" s="550" t="s">
        <v>709</v>
      </c>
      <c r="G127" s="550" t="s">
        <v>780</v>
      </c>
      <c r="H127" s="550" t="s">
        <v>711</v>
      </c>
      <c r="I127" s="550" t="s">
        <v>715</v>
      </c>
      <c r="J127" s="550" t="s">
        <v>717</v>
      </c>
      <c r="K127" s="550" t="s">
        <v>720</v>
      </c>
      <c r="L127" s="550" t="s">
        <v>723</v>
      </c>
      <c r="M127" s="550" t="s">
        <v>725</v>
      </c>
      <c r="N127" s="550" t="s">
        <v>728</v>
      </c>
    </row>
    <row r="128" spans="1:28" x14ac:dyDescent="0.25">
      <c r="A128" s="528" t="s">
        <v>639</v>
      </c>
      <c r="B128" s="563">
        <v>2E-3</v>
      </c>
      <c r="C128" s="563">
        <v>2E-3</v>
      </c>
      <c r="D128" s="563">
        <v>2E-3</v>
      </c>
      <c r="E128" s="563">
        <v>2E-3</v>
      </c>
      <c r="F128" s="563">
        <v>2E-3</v>
      </c>
      <c r="G128" s="563">
        <v>2E-3</v>
      </c>
      <c r="H128" s="563">
        <v>2E-3</v>
      </c>
      <c r="I128" s="563">
        <v>2E-3</v>
      </c>
      <c r="J128" s="563">
        <v>2E-3</v>
      </c>
      <c r="K128" s="563">
        <v>2E-3</v>
      </c>
      <c r="L128" s="563">
        <v>2E-3</v>
      </c>
      <c r="M128" s="563">
        <v>2E-3</v>
      </c>
      <c r="N128" s="563">
        <f>AVERAGE(B128:M128)</f>
        <v>2.0000000000000005E-3</v>
      </c>
    </row>
    <row r="129" spans="1:14" x14ac:dyDescent="0.25">
      <c r="A129" s="528" t="s">
        <v>640</v>
      </c>
      <c r="B129" s="539"/>
      <c r="C129" s="564"/>
      <c r="D129" s="564"/>
      <c r="E129" s="564"/>
      <c r="F129" s="539"/>
      <c r="G129" s="539"/>
      <c r="H129" s="539"/>
      <c r="I129" s="539"/>
      <c r="J129" s="539"/>
      <c r="K129" s="539"/>
      <c r="L129" s="539"/>
      <c r="M129" s="539"/>
      <c r="N129" s="539" t="e">
        <f>AVERAGE(B129:M129)</f>
        <v>#DIV/0!</v>
      </c>
    </row>
    <row r="130" spans="1:14" x14ac:dyDescent="0.25">
      <c r="A130" s="528" t="s">
        <v>817</v>
      </c>
      <c r="B130" s="534">
        <f t="shared" ref="B130:N130" si="30">IFERROR(B128/B129,0)</f>
        <v>0</v>
      </c>
      <c r="C130" s="534">
        <f t="shared" si="30"/>
        <v>0</v>
      </c>
      <c r="D130" s="534">
        <f t="shared" si="30"/>
        <v>0</v>
      </c>
      <c r="E130" s="534">
        <f t="shared" si="30"/>
        <v>0</v>
      </c>
      <c r="F130" s="534">
        <f t="shared" si="30"/>
        <v>0</v>
      </c>
      <c r="G130" s="534">
        <f t="shared" si="30"/>
        <v>0</v>
      </c>
      <c r="H130" s="534">
        <f t="shared" si="30"/>
        <v>0</v>
      </c>
      <c r="I130" s="534">
        <f t="shared" si="30"/>
        <v>0</v>
      </c>
      <c r="J130" s="534">
        <f t="shared" si="30"/>
        <v>0</v>
      </c>
      <c r="K130" s="534">
        <f t="shared" si="30"/>
        <v>0</v>
      </c>
      <c r="L130" s="534">
        <f t="shared" si="30"/>
        <v>0</v>
      </c>
      <c r="M130" s="534">
        <f t="shared" si="30"/>
        <v>0</v>
      </c>
      <c r="N130" s="534">
        <f t="shared" si="30"/>
        <v>0</v>
      </c>
    </row>
    <row r="134" spans="1:14" x14ac:dyDescent="0.25">
      <c r="A134" s="549" t="s">
        <v>823</v>
      </c>
      <c r="B134" s="550" t="s">
        <v>704</v>
      </c>
      <c r="C134" s="550" t="s">
        <v>705</v>
      </c>
      <c r="D134" s="550" t="s">
        <v>706</v>
      </c>
      <c r="E134" s="550" t="s">
        <v>707</v>
      </c>
      <c r="F134" s="550" t="s">
        <v>709</v>
      </c>
      <c r="G134" s="550" t="s">
        <v>780</v>
      </c>
      <c r="H134" s="550" t="s">
        <v>711</v>
      </c>
      <c r="I134" s="550" t="s">
        <v>715</v>
      </c>
      <c r="J134" s="550" t="s">
        <v>717</v>
      </c>
      <c r="K134" s="550" t="s">
        <v>720</v>
      </c>
      <c r="L134" s="550" t="s">
        <v>723</v>
      </c>
      <c r="M134" s="550" t="s">
        <v>725</v>
      </c>
      <c r="N134" s="550" t="s">
        <v>728</v>
      </c>
    </row>
    <row r="135" spans="1:14" x14ac:dyDescent="0.25">
      <c r="A135" s="528" t="s">
        <v>639</v>
      </c>
      <c r="B135" s="530">
        <v>2800</v>
      </c>
      <c r="C135" s="530">
        <v>2800</v>
      </c>
      <c r="D135" s="530">
        <v>2800</v>
      </c>
      <c r="E135" s="530">
        <v>2800</v>
      </c>
      <c r="F135" s="530">
        <v>2800</v>
      </c>
      <c r="G135" s="530">
        <v>2800</v>
      </c>
      <c r="H135" s="530">
        <v>2800</v>
      </c>
      <c r="I135" s="530">
        <v>2800</v>
      </c>
      <c r="J135" s="530">
        <v>2800</v>
      </c>
      <c r="K135" s="530">
        <v>2800</v>
      </c>
      <c r="L135" s="530">
        <v>2800</v>
      </c>
      <c r="M135" s="530">
        <v>2800</v>
      </c>
      <c r="N135" s="530">
        <v>2800</v>
      </c>
    </row>
    <row r="136" spans="1:14" x14ac:dyDescent="0.25">
      <c r="A136" s="528" t="s">
        <v>640</v>
      </c>
      <c r="B136" s="565"/>
      <c r="C136" s="565"/>
      <c r="D136" s="565"/>
      <c r="E136" s="565"/>
      <c r="F136" s="565"/>
      <c r="G136" s="565"/>
      <c r="H136" s="565"/>
      <c r="I136" s="565"/>
      <c r="J136" s="565"/>
      <c r="K136" s="565"/>
      <c r="L136" s="565"/>
      <c r="M136" s="565"/>
      <c r="N136" s="565" t="e">
        <f>AVERAGE(B136:M136)</f>
        <v>#DIV/0!</v>
      </c>
    </row>
    <row r="137" spans="1:14" x14ac:dyDescent="0.25">
      <c r="A137" s="528" t="s">
        <v>817</v>
      </c>
      <c r="B137" s="534">
        <f>B136/B135</f>
        <v>0</v>
      </c>
      <c r="C137" s="534">
        <f t="shared" ref="C137:N137" si="31">C136/C135</f>
        <v>0</v>
      </c>
      <c r="D137" s="534">
        <f t="shared" si="31"/>
        <v>0</v>
      </c>
      <c r="E137" s="534">
        <f t="shared" si="31"/>
        <v>0</v>
      </c>
      <c r="F137" s="534">
        <f t="shared" si="31"/>
        <v>0</v>
      </c>
      <c r="G137" s="534">
        <f t="shared" si="31"/>
        <v>0</v>
      </c>
      <c r="H137" s="534">
        <f t="shared" si="31"/>
        <v>0</v>
      </c>
      <c r="I137" s="534">
        <f t="shared" si="31"/>
        <v>0</v>
      </c>
      <c r="J137" s="534">
        <f t="shared" si="31"/>
        <v>0</v>
      </c>
      <c r="K137" s="534">
        <f t="shared" si="31"/>
        <v>0</v>
      </c>
      <c r="L137" s="534">
        <f t="shared" si="31"/>
        <v>0</v>
      </c>
      <c r="M137" s="534">
        <f t="shared" si="31"/>
        <v>0</v>
      </c>
      <c r="N137" s="534" t="e">
        <f t="shared" si="31"/>
        <v>#DIV/0!</v>
      </c>
    </row>
    <row r="138" spans="1:14" x14ac:dyDescent="0.25">
      <c r="A138" s="528" t="s">
        <v>824</v>
      </c>
      <c r="B138" s="534">
        <f>B137</f>
        <v>0</v>
      </c>
      <c r="C138" s="534">
        <f>IFERROR(SUM($B$69:C$69)/COUNT($B$69:C$69),0)</f>
        <v>0</v>
      </c>
      <c r="D138" s="534">
        <f>IFERROR(SUM($B$69:D$69)/COUNT($B$69:D$69),0)</f>
        <v>0</v>
      </c>
      <c r="E138" s="534">
        <f>IFERROR(SUM($B$69:E$69)/COUNT($B$69:E$69),0)</f>
        <v>0</v>
      </c>
      <c r="F138" s="534">
        <f>IFERROR(SUM($B$69:F$69)/COUNT($B$69:F$69),0)</f>
        <v>0</v>
      </c>
      <c r="G138" s="534">
        <f>IFERROR(SUM($B$69:G$69)/COUNT($B$69:G$69),0)</f>
        <v>0</v>
      </c>
      <c r="H138" s="534">
        <f>IFERROR(SUM($B$69:H$69)/COUNT($B$69:H$69),0)</f>
        <v>0</v>
      </c>
      <c r="I138" s="534">
        <f>IFERROR(SUM($B$69:I$69)/COUNT($B$69:I$69),0)</f>
        <v>0</v>
      </c>
      <c r="J138" s="534">
        <f>IFERROR(SUM($B$69:J$69)/COUNT($B$69:J$69),0)</f>
        <v>0</v>
      </c>
      <c r="K138" s="534">
        <f>IFERROR(SUM($B$69:K$69)/COUNT($B$69:K$69),0)</f>
        <v>0</v>
      </c>
      <c r="L138" s="534">
        <f>IFERROR(SUM($B$69:L$69)/COUNT($B$69:L$69),0)</f>
        <v>0</v>
      </c>
      <c r="M138" s="534">
        <f>IFERROR(SUM($B$69:M$69)/COUNT($B$69:M$69),0)</f>
        <v>0</v>
      </c>
      <c r="N138" s="534"/>
    </row>
    <row r="141" spans="1:14" x14ac:dyDescent="0.25">
      <c r="A141" s="549" t="s">
        <v>825</v>
      </c>
      <c r="B141" s="550" t="s">
        <v>704</v>
      </c>
      <c r="C141" s="550" t="s">
        <v>705</v>
      </c>
      <c r="D141" s="550" t="s">
        <v>706</v>
      </c>
      <c r="E141" s="550" t="s">
        <v>707</v>
      </c>
      <c r="F141" s="550" t="s">
        <v>709</v>
      </c>
      <c r="G141" s="550" t="s">
        <v>780</v>
      </c>
      <c r="H141" s="550" t="s">
        <v>711</v>
      </c>
      <c r="I141" s="550" t="s">
        <v>715</v>
      </c>
      <c r="J141" s="550" t="s">
        <v>717</v>
      </c>
      <c r="K141" s="550" t="s">
        <v>720</v>
      </c>
      <c r="L141" s="550" t="s">
        <v>723</v>
      </c>
      <c r="M141" s="550" t="s">
        <v>725</v>
      </c>
      <c r="N141" s="550" t="s">
        <v>728</v>
      </c>
    </row>
    <row r="142" spans="1:14" x14ac:dyDescent="0.25">
      <c r="A142" s="528" t="s">
        <v>639</v>
      </c>
      <c r="B142" s="566">
        <v>0.98</v>
      </c>
      <c r="C142" s="566">
        <v>0.98</v>
      </c>
      <c r="D142" s="566">
        <v>0.98</v>
      </c>
      <c r="E142" s="566">
        <v>0.98</v>
      </c>
      <c r="F142" s="566">
        <v>0.98</v>
      </c>
      <c r="G142" s="566">
        <v>0.98</v>
      </c>
      <c r="H142" s="566">
        <v>0.98</v>
      </c>
      <c r="I142" s="566">
        <v>0.98</v>
      </c>
      <c r="J142" s="566">
        <v>0.98</v>
      </c>
      <c r="K142" s="566">
        <v>0.98</v>
      </c>
      <c r="L142" s="566">
        <v>0.98</v>
      </c>
      <c r="M142" s="566">
        <v>0.98</v>
      </c>
      <c r="N142" s="566">
        <f>AVERAGE(B142:M142)</f>
        <v>0.98000000000000032</v>
      </c>
    </row>
    <row r="143" spans="1:14" x14ac:dyDescent="0.25">
      <c r="A143" s="528" t="s">
        <v>640</v>
      </c>
      <c r="B143" s="567"/>
      <c r="C143" s="568"/>
      <c r="D143" s="568"/>
      <c r="E143" s="568"/>
      <c r="F143" s="568"/>
      <c r="G143" s="568"/>
      <c r="H143" s="568"/>
      <c r="I143" s="568"/>
      <c r="J143" s="568"/>
      <c r="K143" s="568"/>
      <c r="L143" s="568"/>
      <c r="M143" s="568"/>
      <c r="N143" s="568" t="e">
        <f>AVERAGE(B143:M143)</f>
        <v>#DIV/0!</v>
      </c>
    </row>
    <row r="144" spans="1:14" x14ac:dyDescent="0.25">
      <c r="A144" s="528" t="s">
        <v>817</v>
      </c>
      <c r="B144" s="534">
        <f>B143/B142</f>
        <v>0</v>
      </c>
      <c r="C144" s="534">
        <f t="shared" ref="C144:M144" si="32">C143/C142</f>
        <v>0</v>
      </c>
      <c r="D144" s="534">
        <f t="shared" si="32"/>
        <v>0</v>
      </c>
      <c r="E144" s="534">
        <f t="shared" si="32"/>
        <v>0</v>
      </c>
      <c r="F144" s="534">
        <f t="shared" si="32"/>
        <v>0</v>
      </c>
      <c r="G144" s="534">
        <f t="shared" si="32"/>
        <v>0</v>
      </c>
      <c r="H144" s="534">
        <f t="shared" si="32"/>
        <v>0</v>
      </c>
      <c r="I144" s="534">
        <f t="shared" si="32"/>
        <v>0</v>
      </c>
      <c r="J144" s="534">
        <f t="shared" si="32"/>
        <v>0</v>
      </c>
      <c r="K144" s="534">
        <f t="shared" si="32"/>
        <v>0</v>
      </c>
      <c r="L144" s="534">
        <f t="shared" si="32"/>
        <v>0</v>
      </c>
      <c r="M144" s="534">
        <f t="shared" si="32"/>
        <v>0</v>
      </c>
      <c r="N144" s="534" t="e">
        <f>N143/N142</f>
        <v>#DIV/0!</v>
      </c>
    </row>
    <row r="147" spans="1:14" x14ac:dyDescent="0.25">
      <c r="A147" s="526" t="s">
        <v>826</v>
      </c>
    </row>
    <row r="148" spans="1:14" ht="30" x14ac:dyDescent="0.25">
      <c r="A148" s="569" t="s">
        <v>763</v>
      </c>
      <c r="B148" s="570" t="s">
        <v>704</v>
      </c>
      <c r="C148" s="570" t="s">
        <v>705</v>
      </c>
      <c r="D148" s="570" t="s">
        <v>706</v>
      </c>
      <c r="E148" s="570" t="s">
        <v>707</v>
      </c>
      <c r="F148" s="528" t="s">
        <v>709</v>
      </c>
      <c r="G148" s="528" t="s">
        <v>780</v>
      </c>
      <c r="H148" s="528" t="s">
        <v>711</v>
      </c>
      <c r="I148" s="528" t="s">
        <v>715</v>
      </c>
      <c r="J148" s="528" t="s">
        <v>717</v>
      </c>
      <c r="K148" s="528" t="s">
        <v>720</v>
      </c>
      <c r="L148" s="528" t="s">
        <v>723</v>
      </c>
      <c r="M148" s="528" t="s">
        <v>725</v>
      </c>
      <c r="N148" s="528" t="s">
        <v>728</v>
      </c>
    </row>
    <row r="149" spans="1:14" x14ac:dyDescent="0.25">
      <c r="A149" s="528" t="s">
        <v>639</v>
      </c>
      <c r="B149" s="530">
        <v>60</v>
      </c>
      <c r="C149" s="530">
        <v>60</v>
      </c>
      <c r="D149" s="530">
        <v>60</v>
      </c>
      <c r="E149" s="530">
        <v>60</v>
      </c>
      <c r="F149" s="530">
        <v>60</v>
      </c>
      <c r="G149" s="530">
        <v>60</v>
      </c>
      <c r="H149" s="530">
        <v>60</v>
      </c>
      <c r="I149" s="530">
        <v>60</v>
      </c>
      <c r="J149" s="530">
        <v>60</v>
      </c>
      <c r="K149" s="530">
        <v>60</v>
      </c>
      <c r="L149" s="530">
        <v>60</v>
      </c>
      <c r="M149" s="530">
        <v>60</v>
      </c>
      <c r="N149" s="530">
        <v>60</v>
      </c>
    </row>
    <row r="150" spans="1:14" x14ac:dyDescent="0.25">
      <c r="A150" s="528" t="s">
        <v>640</v>
      </c>
      <c r="B150" s="546"/>
      <c r="C150" s="546"/>
      <c r="D150" s="546"/>
      <c r="E150" s="546"/>
      <c r="F150" s="546"/>
      <c r="G150" s="571"/>
      <c r="H150" s="571"/>
      <c r="I150" s="571"/>
      <c r="J150" s="571"/>
      <c r="K150" s="571"/>
      <c r="L150" s="571"/>
      <c r="M150" s="571"/>
      <c r="N150" s="572">
        <f>IF(C151=TRUE,B150,IF(D151=TRUE,C150,IF(E151=TRUE,D150,IF(F151=TRUE,E150,IF(G151=TRUE,F150,IF(H151=TRUE,G150,IF(I151=TRUE,H150,IF(J151=TRUE,I150,IF(K151=TRUE,J150,IF(L151=TRUE,K150,IF(M151=TRUE,L150,M150)))))))))))</f>
        <v>0</v>
      </c>
    </row>
    <row r="151" spans="1:14" hidden="1" x14ac:dyDescent="0.25">
      <c r="A151" s="528"/>
      <c r="B151" s="573" t="b">
        <f>ISBLANK(B150)</f>
        <v>1</v>
      </c>
      <c r="C151" s="573" t="b">
        <f t="shared" ref="C151:M151" si="33">ISBLANK(C150)</f>
        <v>1</v>
      </c>
      <c r="D151" s="573" t="b">
        <f t="shared" si="33"/>
        <v>1</v>
      </c>
      <c r="E151" s="573" t="b">
        <f t="shared" si="33"/>
        <v>1</v>
      </c>
      <c r="F151" s="573" t="b">
        <f t="shared" si="33"/>
        <v>1</v>
      </c>
      <c r="G151" s="573" t="b">
        <f t="shared" si="33"/>
        <v>1</v>
      </c>
      <c r="H151" s="573" t="b">
        <f t="shared" si="33"/>
        <v>1</v>
      </c>
      <c r="I151" s="573" t="b">
        <f t="shared" si="33"/>
        <v>1</v>
      </c>
      <c r="J151" s="573" t="b">
        <f t="shared" si="33"/>
        <v>1</v>
      </c>
      <c r="K151" s="573" t="b">
        <f t="shared" si="33"/>
        <v>1</v>
      </c>
      <c r="L151" s="573" t="b">
        <f t="shared" si="33"/>
        <v>1</v>
      </c>
      <c r="M151" s="573" t="b">
        <f t="shared" si="33"/>
        <v>1</v>
      </c>
      <c r="N151" s="574"/>
    </row>
    <row r="152" spans="1:14" x14ac:dyDescent="0.25">
      <c r="A152" s="528" t="s">
        <v>817</v>
      </c>
      <c r="B152" s="575">
        <f>IFERROR(B149/B150,0)</f>
        <v>0</v>
      </c>
      <c r="C152" s="575">
        <f t="shared" ref="C152:N152" si="34">IFERROR(C149/C150,0)</f>
        <v>0</v>
      </c>
      <c r="D152" s="575">
        <f t="shared" si="34"/>
        <v>0</v>
      </c>
      <c r="E152" s="575">
        <f t="shared" si="34"/>
        <v>0</v>
      </c>
      <c r="F152" s="575">
        <f t="shared" si="34"/>
        <v>0</v>
      </c>
      <c r="G152" s="575">
        <f t="shared" si="34"/>
        <v>0</v>
      </c>
      <c r="H152" s="575">
        <f t="shared" si="34"/>
        <v>0</v>
      </c>
      <c r="I152" s="575">
        <f t="shared" si="34"/>
        <v>0</v>
      </c>
      <c r="J152" s="575">
        <f t="shared" si="34"/>
        <v>0</v>
      </c>
      <c r="K152" s="575">
        <f t="shared" si="34"/>
        <v>0</v>
      </c>
      <c r="L152" s="575">
        <f t="shared" si="34"/>
        <v>0</v>
      </c>
      <c r="M152" s="575">
        <f t="shared" si="34"/>
        <v>0</v>
      </c>
      <c r="N152" s="575">
        <f t="shared" si="34"/>
        <v>0</v>
      </c>
    </row>
    <row r="155" spans="1:14" x14ac:dyDescent="0.25">
      <c r="A155" s="526" t="s">
        <v>826</v>
      </c>
    </row>
    <row r="156" spans="1:14" x14ac:dyDescent="0.25">
      <c r="A156" s="528" t="s">
        <v>827</v>
      </c>
      <c r="B156" s="570" t="s">
        <v>704</v>
      </c>
      <c r="C156" s="570" t="s">
        <v>705</v>
      </c>
      <c r="D156" s="570" t="s">
        <v>706</v>
      </c>
      <c r="E156" s="570" t="s">
        <v>707</v>
      </c>
      <c r="F156" s="528" t="s">
        <v>709</v>
      </c>
      <c r="G156" s="528" t="s">
        <v>780</v>
      </c>
      <c r="H156" s="528" t="s">
        <v>711</v>
      </c>
      <c r="I156" s="528" t="s">
        <v>715</v>
      </c>
      <c r="J156" s="528" t="s">
        <v>717</v>
      </c>
      <c r="K156" s="528" t="s">
        <v>720</v>
      </c>
      <c r="L156" s="528" t="s">
        <v>723</v>
      </c>
      <c r="M156" s="528" t="s">
        <v>725</v>
      </c>
      <c r="N156" s="528" t="s">
        <v>728</v>
      </c>
    </row>
    <row r="157" spans="1:14" x14ac:dyDescent="0.25">
      <c r="A157" s="528" t="s">
        <v>639</v>
      </c>
      <c r="B157" s="578">
        <v>0</v>
      </c>
      <c r="C157" s="578">
        <v>0</v>
      </c>
      <c r="D157" s="578">
        <v>0</v>
      </c>
      <c r="E157" s="578">
        <v>0</v>
      </c>
      <c r="F157" s="578">
        <v>0</v>
      </c>
      <c r="G157" s="578">
        <v>0</v>
      </c>
      <c r="H157" s="578">
        <v>0</v>
      </c>
      <c r="I157" s="578">
        <v>0</v>
      </c>
      <c r="J157" s="578">
        <v>0</v>
      </c>
      <c r="K157" s="578">
        <v>0</v>
      </c>
      <c r="L157" s="578">
        <v>0</v>
      </c>
      <c r="M157" s="578">
        <v>0</v>
      </c>
      <c r="N157" s="578">
        <v>0</v>
      </c>
    </row>
    <row r="158" spans="1:14" x14ac:dyDescent="0.25">
      <c r="A158" s="528" t="s">
        <v>640</v>
      </c>
      <c r="B158" s="565"/>
      <c r="C158" s="565"/>
      <c r="D158" s="565"/>
      <c r="E158" s="565"/>
      <c r="F158" s="565"/>
      <c r="G158" s="561"/>
      <c r="H158" s="561"/>
      <c r="I158" s="561"/>
      <c r="J158" s="561"/>
      <c r="K158" s="561"/>
      <c r="L158" s="561"/>
      <c r="M158" s="561"/>
      <c r="N158" s="561"/>
    </row>
    <row r="159" spans="1:14" x14ac:dyDescent="0.25">
      <c r="A159" s="528" t="s">
        <v>817</v>
      </c>
      <c r="B159" s="545">
        <f>IFERROR(B157/B158,0)</f>
        <v>0</v>
      </c>
      <c r="C159" s="545">
        <f t="shared" ref="C159:N159" si="35">IFERROR(C157/C158,0)</f>
        <v>0</v>
      </c>
      <c r="D159" s="545">
        <f t="shared" si="35"/>
        <v>0</v>
      </c>
      <c r="E159" s="545">
        <f t="shared" si="35"/>
        <v>0</v>
      </c>
      <c r="F159" s="545">
        <f t="shared" si="35"/>
        <v>0</v>
      </c>
      <c r="G159" s="545">
        <f t="shared" si="35"/>
        <v>0</v>
      </c>
      <c r="H159" s="545">
        <f t="shared" si="35"/>
        <v>0</v>
      </c>
      <c r="I159" s="545">
        <f t="shared" si="35"/>
        <v>0</v>
      </c>
      <c r="J159" s="545">
        <f t="shared" si="35"/>
        <v>0</v>
      </c>
      <c r="K159" s="545">
        <f t="shared" si="35"/>
        <v>0</v>
      </c>
      <c r="L159" s="545">
        <f t="shared" si="35"/>
        <v>0</v>
      </c>
      <c r="M159" s="545">
        <f t="shared" si="35"/>
        <v>0</v>
      </c>
      <c r="N159" s="545">
        <f t="shared" si="35"/>
        <v>0</v>
      </c>
    </row>
    <row r="162" spans="1:14" x14ac:dyDescent="0.25">
      <c r="A162" s="528" t="s">
        <v>828</v>
      </c>
      <c r="B162" s="528" t="s">
        <v>704</v>
      </c>
      <c r="C162" s="528" t="s">
        <v>705</v>
      </c>
      <c r="D162" s="528" t="s">
        <v>706</v>
      </c>
      <c r="E162" s="528" t="s">
        <v>707</v>
      </c>
      <c r="F162" s="528" t="s">
        <v>709</v>
      </c>
      <c r="G162" s="528" t="s">
        <v>780</v>
      </c>
      <c r="H162" s="528" t="s">
        <v>711</v>
      </c>
      <c r="I162" s="528" t="s">
        <v>715</v>
      </c>
      <c r="J162" s="528" t="s">
        <v>717</v>
      </c>
      <c r="K162" s="528" t="s">
        <v>720</v>
      </c>
      <c r="L162" s="528" t="s">
        <v>723</v>
      </c>
      <c r="M162" s="528" t="s">
        <v>725</v>
      </c>
      <c r="N162" s="528" t="s">
        <v>728</v>
      </c>
    </row>
    <row r="163" spans="1:14" x14ac:dyDescent="0.25">
      <c r="A163" s="528" t="s">
        <v>829</v>
      </c>
      <c r="B163" s="534">
        <v>1</v>
      </c>
      <c r="C163" s="534">
        <v>1</v>
      </c>
      <c r="D163" s="534">
        <v>1</v>
      </c>
      <c r="E163" s="534">
        <v>1</v>
      </c>
      <c r="F163" s="534">
        <v>1</v>
      </c>
      <c r="G163" s="534">
        <v>1</v>
      </c>
      <c r="H163" s="534">
        <v>1</v>
      </c>
      <c r="I163" s="534">
        <v>1</v>
      </c>
      <c r="J163" s="534">
        <v>1</v>
      </c>
      <c r="K163" s="534">
        <v>1</v>
      </c>
      <c r="L163" s="534">
        <v>1</v>
      </c>
      <c r="M163" s="534">
        <v>1</v>
      </c>
      <c r="N163" s="534">
        <v>1</v>
      </c>
    </row>
    <row r="164" spans="1:14" x14ac:dyDescent="0.25">
      <c r="A164" s="528" t="s">
        <v>640</v>
      </c>
      <c r="B164" s="534"/>
      <c r="C164" s="534"/>
      <c r="D164" s="534"/>
      <c r="E164" s="534"/>
      <c r="F164" s="576"/>
      <c r="G164" s="576"/>
      <c r="H164" s="576"/>
      <c r="I164" s="576"/>
      <c r="J164" s="576"/>
      <c r="K164" s="576"/>
      <c r="L164" s="576"/>
      <c r="M164" s="576"/>
      <c r="N164" s="576" t="e">
        <f>AVERAGE(B164:M164)</f>
        <v>#DIV/0!</v>
      </c>
    </row>
    <row r="167" spans="1:14" x14ac:dyDescent="0.25">
      <c r="A167" s="526" t="s">
        <v>830</v>
      </c>
      <c r="B167" s="548"/>
      <c r="C167" s="548"/>
    </row>
    <row r="168" spans="1:14" x14ac:dyDescent="0.25">
      <c r="A168" s="526" t="s">
        <v>831</v>
      </c>
      <c r="B168" s="550" t="s">
        <v>704</v>
      </c>
      <c r="C168" s="550" t="s">
        <v>705</v>
      </c>
      <c r="D168" s="550" t="s">
        <v>706</v>
      </c>
      <c r="E168" s="550" t="s">
        <v>707</v>
      </c>
      <c r="F168" s="550" t="s">
        <v>709</v>
      </c>
      <c r="G168" s="550" t="s">
        <v>780</v>
      </c>
      <c r="H168" s="550" t="s">
        <v>711</v>
      </c>
      <c r="I168" s="550" t="s">
        <v>715</v>
      </c>
      <c r="J168" s="550" t="s">
        <v>717</v>
      </c>
      <c r="K168" s="550" t="s">
        <v>720</v>
      </c>
      <c r="L168" s="550" t="s">
        <v>723</v>
      </c>
      <c r="M168" s="550" t="s">
        <v>725</v>
      </c>
      <c r="N168" s="550" t="s">
        <v>728</v>
      </c>
    </row>
    <row r="169" spans="1:14" x14ac:dyDescent="0.25">
      <c r="A169" s="528" t="s">
        <v>639</v>
      </c>
      <c r="B169" s="537">
        <v>0</v>
      </c>
      <c r="C169" s="537">
        <v>0</v>
      </c>
      <c r="D169" s="537">
        <v>0</v>
      </c>
      <c r="E169" s="537">
        <v>0</v>
      </c>
      <c r="F169" s="537">
        <v>0</v>
      </c>
      <c r="G169" s="537">
        <v>0</v>
      </c>
      <c r="H169" s="537">
        <v>0</v>
      </c>
      <c r="I169" s="537">
        <v>0</v>
      </c>
      <c r="J169" s="537">
        <v>0</v>
      </c>
      <c r="K169" s="537">
        <v>0</v>
      </c>
      <c r="L169" s="537">
        <v>0</v>
      </c>
      <c r="M169" s="537">
        <v>0</v>
      </c>
      <c r="N169" s="537">
        <f>SUM(B169:M169)</f>
        <v>0</v>
      </c>
    </row>
    <row r="170" spans="1:14" x14ac:dyDescent="0.25">
      <c r="A170" s="528" t="s">
        <v>640</v>
      </c>
      <c r="B170" s="561"/>
      <c r="C170" s="561"/>
      <c r="D170" s="561"/>
      <c r="E170" s="561"/>
      <c r="F170" s="561"/>
      <c r="G170" s="561"/>
      <c r="H170" s="561"/>
      <c r="I170" s="561"/>
      <c r="J170" s="561"/>
      <c r="K170" s="561"/>
      <c r="L170" s="561"/>
      <c r="M170" s="561"/>
      <c r="N170" s="561"/>
    </row>
    <row r="171" spans="1:14" x14ac:dyDescent="0.25">
      <c r="A171" s="528" t="s">
        <v>817</v>
      </c>
      <c r="B171" s="545">
        <f>IF(B170=0,1,B169/B170)</f>
        <v>1</v>
      </c>
      <c r="C171" s="545">
        <f t="shared" ref="C171:N171" si="36">IF(C170=0,1,C169/C170)</f>
        <v>1</v>
      </c>
      <c r="D171" s="545">
        <f t="shared" si="36"/>
        <v>1</v>
      </c>
      <c r="E171" s="545">
        <f t="shared" si="36"/>
        <v>1</v>
      </c>
      <c r="F171" s="545">
        <f t="shared" si="36"/>
        <v>1</v>
      </c>
      <c r="G171" s="545">
        <f t="shared" si="36"/>
        <v>1</v>
      </c>
      <c r="H171" s="545">
        <f t="shared" si="36"/>
        <v>1</v>
      </c>
      <c r="I171" s="545">
        <f t="shared" si="36"/>
        <v>1</v>
      </c>
      <c r="J171" s="545">
        <f t="shared" si="36"/>
        <v>1</v>
      </c>
      <c r="K171" s="545">
        <f t="shared" si="36"/>
        <v>1</v>
      </c>
      <c r="L171" s="545">
        <f t="shared" si="36"/>
        <v>1</v>
      </c>
      <c r="M171" s="545">
        <f t="shared" si="36"/>
        <v>1</v>
      </c>
      <c r="N171" s="545">
        <f t="shared" si="36"/>
        <v>1</v>
      </c>
    </row>
    <row r="174" spans="1:14" ht="30" x14ac:dyDescent="0.25">
      <c r="A174" s="559" t="s">
        <v>832</v>
      </c>
      <c r="B174" s="553" t="s">
        <v>704</v>
      </c>
      <c r="C174" s="553" t="s">
        <v>705</v>
      </c>
      <c r="D174" s="553" t="s">
        <v>706</v>
      </c>
      <c r="E174" s="553" t="s">
        <v>707</v>
      </c>
      <c r="F174" s="553" t="s">
        <v>709</v>
      </c>
      <c r="G174" s="553" t="s">
        <v>780</v>
      </c>
      <c r="H174" s="553" t="s">
        <v>711</v>
      </c>
      <c r="I174" s="553" t="s">
        <v>715</v>
      </c>
      <c r="J174" s="553" t="s">
        <v>717</v>
      </c>
      <c r="K174" s="553" t="s">
        <v>720</v>
      </c>
      <c r="L174" s="553" t="s">
        <v>723</v>
      </c>
      <c r="M174" s="553" t="s">
        <v>725</v>
      </c>
      <c r="N174" s="553" t="s">
        <v>728</v>
      </c>
    </row>
    <row r="175" spans="1:14" x14ac:dyDescent="0.25">
      <c r="A175" s="528" t="s">
        <v>833</v>
      </c>
      <c r="B175" s="577">
        <f>IF(OR(B178=FALSE,B181&gt;0),1,0)</f>
        <v>0</v>
      </c>
      <c r="C175" s="577">
        <f t="shared" ref="C175:N175" si="37">IF(OR(C178=FALSE,C181&gt;0),1,0)</f>
        <v>0</v>
      </c>
      <c r="D175" s="577">
        <f t="shared" si="37"/>
        <v>0</v>
      </c>
      <c r="E175" s="577">
        <f t="shared" si="37"/>
        <v>1</v>
      </c>
      <c r="F175" s="577">
        <f t="shared" si="37"/>
        <v>1</v>
      </c>
      <c r="G175" s="577">
        <f t="shared" si="37"/>
        <v>0</v>
      </c>
      <c r="H175" s="577">
        <f t="shared" si="37"/>
        <v>0</v>
      </c>
      <c r="I175" s="577">
        <f t="shared" si="37"/>
        <v>0</v>
      </c>
      <c r="J175" s="577">
        <f t="shared" si="37"/>
        <v>0</v>
      </c>
      <c r="K175" s="577">
        <f t="shared" si="37"/>
        <v>0</v>
      </c>
      <c r="L175" s="577">
        <f t="shared" si="37"/>
        <v>0</v>
      </c>
      <c r="M175" s="577">
        <f t="shared" si="37"/>
        <v>0</v>
      </c>
      <c r="N175" s="577">
        <f t="shared" si="37"/>
        <v>1</v>
      </c>
    </row>
    <row r="176" spans="1:14" x14ac:dyDescent="0.25">
      <c r="A176" s="528" t="s">
        <v>834</v>
      </c>
      <c r="B176" s="578">
        <v>0</v>
      </c>
      <c r="C176" s="578">
        <v>0</v>
      </c>
      <c r="D176" s="578">
        <v>0</v>
      </c>
      <c r="E176" s="578">
        <v>0</v>
      </c>
      <c r="F176" s="578">
        <v>0</v>
      </c>
      <c r="G176" s="578">
        <v>0</v>
      </c>
      <c r="H176" s="578">
        <v>0</v>
      </c>
      <c r="I176" s="578">
        <v>0</v>
      </c>
      <c r="J176" s="578">
        <v>0</v>
      </c>
      <c r="K176" s="578">
        <v>0</v>
      </c>
      <c r="L176" s="578">
        <v>0</v>
      </c>
      <c r="M176" s="578">
        <v>0</v>
      </c>
      <c r="N176" s="578">
        <v>0</v>
      </c>
    </row>
    <row r="177" spans="1:14" x14ac:dyDescent="0.25">
      <c r="A177" s="528" t="s">
        <v>835</v>
      </c>
      <c r="B177" s="530">
        <v>10</v>
      </c>
      <c r="C177" s="530">
        <v>10</v>
      </c>
      <c r="D177" s="530">
        <v>10</v>
      </c>
      <c r="E177" s="530">
        <v>10</v>
      </c>
      <c r="F177" s="530">
        <v>10</v>
      </c>
      <c r="G177" s="530">
        <v>10</v>
      </c>
      <c r="H177" s="530">
        <v>10</v>
      </c>
      <c r="I177" s="530">
        <v>10</v>
      </c>
      <c r="J177" s="530">
        <v>10</v>
      </c>
      <c r="K177" s="530">
        <v>10</v>
      </c>
      <c r="L177" s="530">
        <v>10</v>
      </c>
      <c r="M177" s="530">
        <v>10</v>
      </c>
      <c r="N177" s="530">
        <v>10</v>
      </c>
    </row>
    <row r="178" spans="1:14" x14ac:dyDescent="0.25">
      <c r="A178" s="528" t="s">
        <v>836</v>
      </c>
      <c r="B178" s="530" t="b">
        <f>ISBLANK(B179)</f>
        <v>1</v>
      </c>
      <c r="C178" s="530" t="b">
        <f t="shared" ref="C178:N178" si="38">ISBLANK(C179)</f>
        <v>1</v>
      </c>
      <c r="D178" s="530" t="b">
        <f t="shared" si="38"/>
        <v>1</v>
      </c>
      <c r="E178" s="530" t="b">
        <f t="shared" si="38"/>
        <v>0</v>
      </c>
      <c r="F178" s="530" t="b">
        <f t="shared" si="38"/>
        <v>1</v>
      </c>
      <c r="G178" s="530" t="b">
        <f t="shared" si="38"/>
        <v>1</v>
      </c>
      <c r="H178" s="530" t="b">
        <f t="shared" si="38"/>
        <v>1</v>
      </c>
      <c r="I178" s="530" t="b">
        <f t="shared" si="38"/>
        <v>1</v>
      </c>
      <c r="J178" s="530" t="b">
        <f t="shared" si="38"/>
        <v>1</v>
      </c>
      <c r="K178" s="530" t="b">
        <f t="shared" si="38"/>
        <v>1</v>
      </c>
      <c r="L178" s="530" t="b">
        <f t="shared" si="38"/>
        <v>1</v>
      </c>
      <c r="M178" s="530" t="b">
        <f t="shared" si="38"/>
        <v>1</v>
      </c>
      <c r="N178" s="530" t="b">
        <f t="shared" si="38"/>
        <v>0</v>
      </c>
    </row>
    <row r="179" spans="1:14" x14ac:dyDescent="0.25">
      <c r="A179" s="528" t="s">
        <v>837</v>
      </c>
      <c r="B179" s="579"/>
      <c r="C179" s="579"/>
      <c r="D179" s="579"/>
      <c r="E179" s="579">
        <v>4</v>
      </c>
      <c r="F179" s="579"/>
      <c r="G179" s="579"/>
      <c r="H179" s="579"/>
      <c r="I179" s="579"/>
      <c r="J179" s="579"/>
      <c r="K179" s="579"/>
      <c r="L179" s="579"/>
      <c r="M179" s="579"/>
      <c r="N179" s="580">
        <f>SUM(B179:M179)</f>
        <v>4</v>
      </c>
    </row>
    <row r="180" spans="1:14" x14ac:dyDescent="0.25">
      <c r="A180" s="528" t="s">
        <v>838</v>
      </c>
      <c r="B180" s="581">
        <f>IF(B178=TRUE,0,(IF(B179=0,1,0)))</f>
        <v>0</v>
      </c>
      <c r="C180" s="581">
        <f t="shared" ref="C180:N180" si="39">IF(C178=TRUE,0,(IF(C179=0,1,0)))</f>
        <v>0</v>
      </c>
      <c r="D180" s="581">
        <f t="shared" si="39"/>
        <v>0</v>
      </c>
      <c r="E180" s="581">
        <f t="shared" si="39"/>
        <v>0</v>
      </c>
      <c r="F180" s="581">
        <f t="shared" si="39"/>
        <v>0</v>
      </c>
      <c r="G180" s="581">
        <f t="shared" si="39"/>
        <v>0</v>
      </c>
      <c r="H180" s="581">
        <f t="shared" si="39"/>
        <v>0</v>
      </c>
      <c r="I180" s="581">
        <f t="shared" si="39"/>
        <v>0</v>
      </c>
      <c r="J180" s="581">
        <f t="shared" si="39"/>
        <v>0</v>
      </c>
      <c r="K180" s="581">
        <f t="shared" si="39"/>
        <v>0</v>
      </c>
      <c r="L180" s="581">
        <f t="shared" si="39"/>
        <v>0</v>
      </c>
      <c r="M180" s="581">
        <f t="shared" si="39"/>
        <v>0</v>
      </c>
      <c r="N180" s="581">
        <f t="shared" si="39"/>
        <v>0</v>
      </c>
    </row>
    <row r="181" spans="1:14" x14ac:dyDescent="0.25">
      <c r="A181" s="528" t="s">
        <v>839</v>
      </c>
      <c r="B181" s="579"/>
      <c r="C181" s="579"/>
      <c r="D181" s="579"/>
      <c r="E181" s="579"/>
      <c r="F181" s="579">
        <v>4</v>
      </c>
      <c r="G181" s="579"/>
      <c r="H181" s="579"/>
      <c r="I181" s="579"/>
      <c r="J181" s="579"/>
      <c r="K181" s="579"/>
      <c r="L181" s="579"/>
      <c r="M181" s="579"/>
      <c r="N181" s="580">
        <f>SUM(B181:M181)</f>
        <v>4</v>
      </c>
    </row>
    <row r="182" spans="1:14" x14ac:dyDescent="0.25">
      <c r="A182" s="528" t="s">
        <v>836</v>
      </c>
      <c r="B182" s="546" t="b">
        <f>ISBLANK(B181)</f>
        <v>1</v>
      </c>
      <c r="C182" s="546" t="b">
        <f t="shared" ref="C182:N182" si="40">ISBLANK(C181)</f>
        <v>1</v>
      </c>
      <c r="D182" s="546" t="b">
        <f t="shared" si="40"/>
        <v>1</v>
      </c>
      <c r="E182" s="546" t="b">
        <f t="shared" si="40"/>
        <v>1</v>
      </c>
      <c r="F182" s="546" t="b">
        <f t="shared" si="40"/>
        <v>0</v>
      </c>
      <c r="G182" s="546" t="b">
        <f t="shared" si="40"/>
        <v>1</v>
      </c>
      <c r="H182" s="546" t="b">
        <f t="shared" si="40"/>
        <v>1</v>
      </c>
      <c r="I182" s="546" t="b">
        <f t="shared" si="40"/>
        <v>1</v>
      </c>
      <c r="J182" s="546" t="b">
        <f t="shared" si="40"/>
        <v>1</v>
      </c>
      <c r="K182" s="546" t="b">
        <f t="shared" si="40"/>
        <v>1</v>
      </c>
      <c r="L182" s="546" t="b">
        <f t="shared" si="40"/>
        <v>1</v>
      </c>
      <c r="M182" s="546" t="b">
        <f t="shared" si="40"/>
        <v>1</v>
      </c>
      <c r="N182" s="546" t="b">
        <f t="shared" si="40"/>
        <v>0</v>
      </c>
    </row>
    <row r="183" spans="1:14" x14ac:dyDescent="0.25">
      <c r="A183" s="528" t="s">
        <v>840</v>
      </c>
      <c r="B183" s="581">
        <f>IF(B182=TRUE,0,B177/B181)</f>
        <v>0</v>
      </c>
      <c r="C183" s="581">
        <f t="shared" ref="C183:N183" si="41">IF(C182=TRUE,0,C177/C181)</f>
        <v>0</v>
      </c>
      <c r="D183" s="581">
        <f t="shared" si="41"/>
        <v>0</v>
      </c>
      <c r="E183" s="581">
        <f t="shared" si="41"/>
        <v>0</v>
      </c>
      <c r="F183" s="581">
        <f t="shared" si="41"/>
        <v>2.5</v>
      </c>
      <c r="G183" s="581">
        <f t="shared" si="41"/>
        <v>0</v>
      </c>
      <c r="H183" s="581">
        <f t="shared" si="41"/>
        <v>0</v>
      </c>
      <c r="I183" s="581">
        <f t="shared" si="41"/>
        <v>0</v>
      </c>
      <c r="J183" s="581">
        <f t="shared" si="41"/>
        <v>0</v>
      </c>
      <c r="K183" s="581">
        <f t="shared" si="41"/>
        <v>0</v>
      </c>
      <c r="L183" s="581">
        <f t="shared" si="41"/>
        <v>0</v>
      </c>
      <c r="M183" s="581">
        <f t="shared" si="41"/>
        <v>0</v>
      </c>
      <c r="N183" s="581">
        <f t="shared" si="41"/>
        <v>2.5</v>
      </c>
    </row>
    <row r="184" spans="1:14" x14ac:dyDescent="0.25">
      <c r="A184" s="528" t="s">
        <v>817</v>
      </c>
      <c r="B184" s="545">
        <f>IF(AND(B178=FALSE,B179=0,B183=0),B180,IF(AND(B178=TRUE,B183&gt;0),B183,IF(AND(B178=FALSE,B183&gt;0),AVERAGE(B180,B183),0)))</f>
        <v>0</v>
      </c>
      <c r="C184" s="545">
        <f>IF(AND(C178=FALSE,C179=0,C183=0),C180,IF(AND(C178=TRUE,C183&gt;0),C183,IF(AND(C178=FALSE,C183&gt;0),AVERAGE(C180,C183),0)))</f>
        <v>0</v>
      </c>
      <c r="D184" s="545">
        <f t="shared" ref="D184:N184" si="42">IF(AND(D178=FALSE,D179=0,D183=0),D180,IF(AND(D178=TRUE,D183&gt;0),D183,IF(AND(D178=FALSE,D183&gt;0),AVERAGE(D180,D183),0)))</f>
        <v>0</v>
      </c>
      <c r="E184" s="545">
        <f t="shared" si="42"/>
        <v>0</v>
      </c>
      <c r="F184" s="545">
        <f t="shared" si="42"/>
        <v>2.5</v>
      </c>
      <c r="G184" s="545">
        <f t="shared" si="42"/>
        <v>0</v>
      </c>
      <c r="H184" s="545">
        <f t="shared" si="42"/>
        <v>0</v>
      </c>
      <c r="I184" s="545">
        <f t="shared" si="42"/>
        <v>0</v>
      </c>
      <c r="J184" s="545">
        <f t="shared" si="42"/>
        <v>0</v>
      </c>
      <c r="K184" s="545">
        <f t="shared" si="42"/>
        <v>0</v>
      </c>
      <c r="L184" s="545">
        <f t="shared" si="42"/>
        <v>0</v>
      </c>
      <c r="M184" s="545">
        <f t="shared" si="42"/>
        <v>0</v>
      </c>
      <c r="N184" s="545">
        <f t="shared" si="42"/>
        <v>1.25</v>
      </c>
    </row>
    <row r="185" spans="1:14" x14ac:dyDescent="0.25">
      <c r="A185" s="528" t="s">
        <v>818</v>
      </c>
      <c r="B185" s="545">
        <f>B184</f>
        <v>0</v>
      </c>
      <c r="C185" s="534" t="e">
        <f>AVERAGE($B$94:C$94)</f>
        <v>#DIV/0!</v>
      </c>
      <c r="D185" s="534" t="e">
        <f>AVERAGE($B$94:D$94)</f>
        <v>#DIV/0!</v>
      </c>
      <c r="E185" s="534" t="e">
        <f>AVERAGE($B$94:E$94)</f>
        <v>#DIV/0!</v>
      </c>
      <c r="F185" s="534" t="e">
        <f>AVERAGE($B$94:F$94)</f>
        <v>#DIV/0!</v>
      </c>
      <c r="G185" s="534" t="e">
        <f>AVERAGE($B$94:G$94)</f>
        <v>#DIV/0!</v>
      </c>
      <c r="H185" s="534" t="e">
        <f>AVERAGE($B$94:H$94)</f>
        <v>#DIV/0!</v>
      </c>
      <c r="I185" s="534" t="e">
        <f>AVERAGE($B$94:I$94)</f>
        <v>#DIV/0!</v>
      </c>
      <c r="J185" s="534" t="e">
        <f>AVERAGE($B$94:J$94)</f>
        <v>#DIV/0!</v>
      </c>
      <c r="K185" s="534" t="e">
        <f>AVERAGE($B$94:K$94)</f>
        <v>#DIV/0!</v>
      </c>
      <c r="L185" s="534" t="e">
        <f>AVERAGE($B$94:L$94)</f>
        <v>#DIV/0!</v>
      </c>
      <c r="M185" s="534" t="e">
        <f>AVERAGE($B$94:M$94)</f>
        <v>#DIV/0!</v>
      </c>
      <c r="N185" s="534"/>
    </row>
    <row r="188" spans="1:14" x14ac:dyDescent="0.25">
      <c r="A188" s="549" t="s">
        <v>841</v>
      </c>
      <c r="B188" s="550" t="s">
        <v>704</v>
      </c>
      <c r="C188" s="550" t="s">
        <v>705</v>
      </c>
      <c r="D188" s="550" t="s">
        <v>706</v>
      </c>
      <c r="E188" s="550" t="s">
        <v>707</v>
      </c>
      <c r="F188" s="550" t="s">
        <v>709</v>
      </c>
      <c r="G188" s="550" t="s">
        <v>780</v>
      </c>
      <c r="H188" s="550" t="s">
        <v>711</v>
      </c>
      <c r="I188" s="550" t="s">
        <v>715</v>
      </c>
      <c r="J188" s="550" t="s">
        <v>717</v>
      </c>
      <c r="K188" s="550" t="s">
        <v>720</v>
      </c>
      <c r="L188" s="550" t="s">
        <v>723</v>
      </c>
      <c r="M188" s="550" t="s">
        <v>725</v>
      </c>
      <c r="N188" s="550" t="s">
        <v>728</v>
      </c>
    </row>
    <row r="189" spans="1:14" x14ac:dyDescent="0.25">
      <c r="A189" s="553" t="s">
        <v>639</v>
      </c>
      <c r="B189" s="582">
        <v>0.85</v>
      </c>
      <c r="C189" s="582">
        <v>0.85</v>
      </c>
      <c r="D189" s="582">
        <v>0.85</v>
      </c>
      <c r="E189" s="582">
        <v>0.85</v>
      </c>
      <c r="F189" s="582">
        <v>0.85</v>
      </c>
      <c r="G189" s="582">
        <v>0.85</v>
      </c>
      <c r="H189" s="582">
        <v>0.85</v>
      </c>
      <c r="I189" s="582">
        <v>0.85</v>
      </c>
      <c r="J189" s="582">
        <v>0.85</v>
      </c>
      <c r="K189" s="582">
        <v>0.85</v>
      </c>
      <c r="L189" s="582">
        <v>0.85</v>
      </c>
      <c r="M189" s="582">
        <v>0.85</v>
      </c>
      <c r="N189" s="582">
        <v>0.85</v>
      </c>
    </row>
    <row r="190" spans="1:14" x14ac:dyDescent="0.25">
      <c r="A190" s="553" t="s">
        <v>842</v>
      </c>
      <c r="B190" s="583"/>
      <c r="C190" s="583"/>
      <c r="D190" s="583"/>
      <c r="E190" s="583"/>
      <c r="F190" s="584"/>
      <c r="G190" s="584"/>
      <c r="H190" s="584"/>
      <c r="I190" s="584"/>
      <c r="J190" s="584"/>
      <c r="K190" s="584"/>
      <c r="L190" s="584"/>
      <c r="M190" s="584"/>
      <c r="N190" s="584" t="e">
        <f>AVERAGE(B190:M190)</f>
        <v>#DIV/0!</v>
      </c>
    </row>
    <row r="191" spans="1:14" x14ac:dyDescent="0.25">
      <c r="A191" s="553" t="s">
        <v>843</v>
      </c>
      <c r="B191" s="584"/>
      <c r="C191" s="584"/>
      <c r="D191" s="584"/>
      <c r="E191" s="584"/>
      <c r="F191" s="584"/>
      <c r="G191" s="584"/>
      <c r="H191" s="584"/>
      <c r="I191" s="584"/>
      <c r="J191" s="584"/>
      <c r="K191" s="584"/>
      <c r="L191" s="584"/>
      <c r="M191" s="584"/>
      <c r="N191" s="584" t="e">
        <f t="shared" ref="N191:N192" si="43">AVERAGE(B191:M191)</f>
        <v>#DIV/0!</v>
      </c>
    </row>
    <row r="192" spans="1:14" x14ac:dyDescent="0.25">
      <c r="A192" s="553" t="s">
        <v>844</v>
      </c>
      <c r="B192" s="584"/>
      <c r="C192" s="584"/>
      <c r="D192" s="584"/>
      <c r="E192" s="584"/>
      <c r="F192" s="584"/>
      <c r="G192" s="584"/>
      <c r="H192" s="584"/>
      <c r="I192" s="584"/>
      <c r="J192" s="584"/>
      <c r="K192" s="584"/>
      <c r="L192" s="584"/>
      <c r="M192" s="584"/>
      <c r="N192" s="584" t="e">
        <f t="shared" si="43"/>
        <v>#DIV/0!</v>
      </c>
    </row>
    <row r="193" spans="1:14" x14ac:dyDescent="0.25">
      <c r="A193" s="553" t="s">
        <v>845</v>
      </c>
      <c r="B193" s="582">
        <f t="shared" ref="B193:N193" si="44">B190*B191*B192</f>
        <v>0</v>
      </c>
      <c r="C193" s="582">
        <f t="shared" si="44"/>
        <v>0</v>
      </c>
      <c r="D193" s="582">
        <f t="shared" si="44"/>
        <v>0</v>
      </c>
      <c r="E193" s="582">
        <f t="shared" si="44"/>
        <v>0</v>
      </c>
      <c r="F193" s="582">
        <f t="shared" si="44"/>
        <v>0</v>
      </c>
      <c r="G193" s="582">
        <f t="shared" si="44"/>
        <v>0</v>
      </c>
      <c r="H193" s="582">
        <f t="shared" si="44"/>
        <v>0</v>
      </c>
      <c r="I193" s="582">
        <f t="shared" si="44"/>
        <v>0</v>
      </c>
      <c r="J193" s="582">
        <f t="shared" si="44"/>
        <v>0</v>
      </c>
      <c r="K193" s="582">
        <f t="shared" si="44"/>
        <v>0</v>
      </c>
      <c r="L193" s="582">
        <f t="shared" si="44"/>
        <v>0</v>
      </c>
      <c r="M193" s="582">
        <f t="shared" si="44"/>
        <v>0</v>
      </c>
      <c r="N193" s="582" t="e">
        <f t="shared" si="44"/>
        <v>#DIV/0!</v>
      </c>
    </row>
    <row r="194" spans="1:14" x14ac:dyDescent="0.25">
      <c r="A194" s="553" t="s">
        <v>817</v>
      </c>
      <c r="B194" s="585">
        <f>IFERROR(B193/B190,0)</f>
        <v>0</v>
      </c>
      <c r="C194" s="585">
        <f t="shared" ref="C194:N194" si="45">IFERROR(C193/C190,0)</f>
        <v>0</v>
      </c>
      <c r="D194" s="585">
        <f t="shared" si="45"/>
        <v>0</v>
      </c>
      <c r="E194" s="585">
        <f t="shared" si="45"/>
        <v>0</v>
      </c>
      <c r="F194" s="585">
        <f t="shared" si="45"/>
        <v>0</v>
      </c>
      <c r="G194" s="585">
        <f t="shared" si="45"/>
        <v>0</v>
      </c>
      <c r="H194" s="585">
        <f t="shared" si="45"/>
        <v>0</v>
      </c>
      <c r="I194" s="585">
        <f t="shared" si="45"/>
        <v>0</v>
      </c>
      <c r="J194" s="585">
        <f t="shared" si="45"/>
        <v>0</v>
      </c>
      <c r="K194" s="585">
        <f t="shared" si="45"/>
        <v>0</v>
      </c>
      <c r="L194" s="585">
        <f t="shared" si="45"/>
        <v>0</v>
      </c>
      <c r="M194" s="585">
        <f t="shared" si="45"/>
        <v>0</v>
      </c>
      <c r="N194" s="585">
        <f t="shared" si="45"/>
        <v>0</v>
      </c>
    </row>
    <row r="195" spans="1:14" x14ac:dyDescent="0.25">
      <c r="A195" s="553" t="s">
        <v>824</v>
      </c>
      <c r="B195" s="582">
        <f>B194</f>
        <v>0</v>
      </c>
      <c r="C195" s="582">
        <f>IFERROR(SUM($B$85:C$85)/COUNT($B$85:C$85),0)</f>
        <v>0</v>
      </c>
      <c r="D195" s="582">
        <f>IFERROR(SUM($B$85:D$85)/COUNT($B$85:D$85),0)</f>
        <v>0</v>
      </c>
      <c r="E195" s="582">
        <f>IFERROR(SUM($B$85:E$85)/COUNT($B$85:E$85),0)</f>
        <v>0</v>
      </c>
      <c r="F195" s="582">
        <f>IFERROR(SUM($B$85:F$85)/COUNT($B$85:F$85),0)</f>
        <v>0</v>
      </c>
      <c r="G195" s="582">
        <f>IFERROR(SUM($B$85:G$85)/COUNT($B$85:G$85),0)</f>
        <v>0</v>
      </c>
      <c r="H195" s="582">
        <f>IFERROR(SUM($B$85:H$85)/COUNT($B$85:H$85),0)</f>
        <v>0</v>
      </c>
      <c r="I195" s="582">
        <f>IFERROR(SUM($B$85:I$85)/COUNT($B$85:I$85),0)</f>
        <v>0</v>
      </c>
      <c r="J195" s="582">
        <f>IFERROR(SUM($B$85:J$85)/COUNT($B$85:J$85),0)</f>
        <v>0</v>
      </c>
      <c r="K195" s="582">
        <f>IFERROR(SUM($B$85:K$85)/COUNT($B$85:K$85),0)</f>
        <v>0</v>
      </c>
      <c r="L195" s="582">
        <f>IFERROR(SUM($B$85:L$85)/COUNT($B$85:L$85),0)</f>
        <v>0</v>
      </c>
      <c r="M195" s="582">
        <f>IFERROR(SUM($B$85:M$85)/COUNT($B$85:M$85),0)</f>
        <v>0</v>
      </c>
      <c r="N195" s="582"/>
    </row>
    <row r="198" spans="1:14" x14ac:dyDescent="0.25">
      <c r="A198" s="549" t="s">
        <v>775</v>
      </c>
      <c r="B198" s="550" t="s">
        <v>704</v>
      </c>
      <c r="C198" s="550" t="s">
        <v>705</v>
      </c>
      <c r="D198" s="550" t="s">
        <v>706</v>
      </c>
      <c r="E198" s="550" t="s">
        <v>707</v>
      </c>
      <c r="F198" s="550" t="s">
        <v>709</v>
      </c>
      <c r="G198" s="550" t="s">
        <v>780</v>
      </c>
      <c r="H198" s="550" t="s">
        <v>711</v>
      </c>
      <c r="I198" s="550" t="s">
        <v>715</v>
      </c>
      <c r="J198" s="550" t="s">
        <v>717</v>
      </c>
      <c r="K198" s="550" t="s">
        <v>720</v>
      </c>
      <c r="L198" s="550" t="s">
        <v>723</v>
      </c>
      <c r="M198" s="550" t="s">
        <v>725</v>
      </c>
      <c r="N198" s="550" t="s">
        <v>728</v>
      </c>
    </row>
    <row r="199" spans="1:14" x14ac:dyDescent="0.25">
      <c r="A199" s="528" t="s">
        <v>639</v>
      </c>
      <c r="B199" s="534">
        <v>1</v>
      </c>
      <c r="C199" s="534">
        <v>1</v>
      </c>
      <c r="D199" s="534">
        <v>1</v>
      </c>
      <c r="E199" s="534">
        <v>1</v>
      </c>
      <c r="F199" s="534">
        <v>1</v>
      </c>
      <c r="G199" s="534">
        <v>1</v>
      </c>
      <c r="H199" s="534">
        <v>1</v>
      </c>
      <c r="I199" s="534">
        <v>1</v>
      </c>
      <c r="J199" s="534">
        <v>1</v>
      </c>
      <c r="K199" s="534">
        <v>1</v>
      </c>
      <c r="L199" s="534">
        <v>1</v>
      </c>
      <c r="M199" s="534">
        <v>1</v>
      </c>
      <c r="N199" s="534">
        <v>1</v>
      </c>
    </row>
    <row r="200" spans="1:14" x14ac:dyDescent="0.25">
      <c r="A200" s="528" t="s">
        <v>640</v>
      </c>
      <c r="B200" s="567"/>
      <c r="C200" s="567"/>
      <c r="D200" s="567"/>
      <c r="E200" s="567"/>
      <c r="F200" s="567"/>
      <c r="G200" s="567"/>
      <c r="H200" s="567"/>
      <c r="I200" s="567"/>
      <c r="J200" s="567"/>
      <c r="K200" s="567"/>
      <c r="L200" s="567"/>
      <c r="M200" s="567"/>
      <c r="N200" s="567"/>
    </row>
    <row r="201" spans="1:14" x14ac:dyDescent="0.25">
      <c r="A201" s="528" t="s">
        <v>817</v>
      </c>
      <c r="B201" s="534">
        <f>B200/B199</f>
        <v>0</v>
      </c>
      <c r="C201" s="534">
        <f t="shared" ref="C201:N201" si="46">C200/C199</f>
        <v>0</v>
      </c>
      <c r="D201" s="534">
        <f t="shared" si="46"/>
        <v>0</v>
      </c>
      <c r="E201" s="534">
        <f t="shared" si="46"/>
        <v>0</v>
      </c>
      <c r="F201" s="534">
        <f t="shared" si="46"/>
        <v>0</v>
      </c>
      <c r="G201" s="534">
        <f t="shared" si="46"/>
        <v>0</v>
      </c>
      <c r="H201" s="534">
        <f t="shared" si="46"/>
        <v>0</v>
      </c>
      <c r="I201" s="534">
        <f t="shared" si="46"/>
        <v>0</v>
      </c>
      <c r="J201" s="534">
        <f t="shared" si="46"/>
        <v>0</v>
      </c>
      <c r="K201" s="534">
        <f t="shared" si="46"/>
        <v>0</v>
      </c>
      <c r="L201" s="534">
        <f t="shared" si="46"/>
        <v>0</v>
      </c>
      <c r="M201" s="534">
        <f t="shared" si="46"/>
        <v>0</v>
      </c>
      <c r="N201" s="534">
        <f t="shared" si="46"/>
        <v>0</v>
      </c>
    </row>
  </sheetData>
  <mergeCells count="26">
    <mergeCell ref="Y121:Y124"/>
    <mergeCell ref="Z121:Z124"/>
    <mergeCell ref="AA121:AA124"/>
    <mergeCell ref="AB121:AB124"/>
    <mergeCell ref="AB113:AB116"/>
    <mergeCell ref="Y113:Y116"/>
    <mergeCell ref="Z113:Z116"/>
    <mergeCell ref="AA113:AA116"/>
    <mergeCell ref="P121:P124"/>
    <mergeCell ref="Q121:Q124"/>
    <mergeCell ref="R121:R124"/>
    <mergeCell ref="S121:S124"/>
    <mergeCell ref="T121:T124"/>
    <mergeCell ref="U121:U124"/>
    <mergeCell ref="V121:V124"/>
    <mergeCell ref="W121:W124"/>
    <mergeCell ref="X121:X124"/>
    <mergeCell ref="V113:V116"/>
    <mergeCell ref="W113:W116"/>
    <mergeCell ref="X113:X116"/>
    <mergeCell ref="U113:U116"/>
    <mergeCell ref="P113:P116"/>
    <mergeCell ref="Q113:Q116"/>
    <mergeCell ref="R113:R116"/>
    <mergeCell ref="S113:S116"/>
    <mergeCell ref="T113:T116"/>
  </mergeCells>
  <conditionalFormatting sqref="B6:N7">
    <cfRule type="cellIs" dxfId="59" priority="58" operator="equal">
      <formula>1</formula>
    </cfRule>
    <cfRule type="cellIs" dxfId="58" priority="59" operator="lessThan">
      <formula>1</formula>
    </cfRule>
    <cfRule type="cellIs" dxfId="57" priority="60" operator="greaterThan">
      <formula>1</formula>
    </cfRule>
  </conditionalFormatting>
  <conditionalFormatting sqref="B15:N16">
    <cfRule type="cellIs" dxfId="56" priority="55" operator="equal">
      <formula>1</formula>
    </cfRule>
    <cfRule type="cellIs" dxfId="55" priority="56" operator="lessThan">
      <formula>1</formula>
    </cfRule>
    <cfRule type="cellIs" dxfId="54" priority="57" operator="greaterThan">
      <formula>1</formula>
    </cfRule>
  </conditionalFormatting>
  <conditionalFormatting sqref="B24:N25">
    <cfRule type="cellIs" dxfId="53" priority="52" operator="equal">
      <formula>1</formula>
    </cfRule>
    <cfRule type="cellIs" dxfId="52" priority="53" operator="lessThan">
      <formula>1</formula>
    </cfRule>
    <cfRule type="cellIs" dxfId="51" priority="54" operator="greaterThan">
      <formula>1</formula>
    </cfRule>
  </conditionalFormatting>
  <conditionalFormatting sqref="B32:N33">
    <cfRule type="cellIs" dxfId="50" priority="49" operator="equal">
      <formula>1</formula>
    </cfRule>
    <cfRule type="cellIs" dxfId="49" priority="50" operator="lessThan">
      <formula>1</formula>
    </cfRule>
    <cfRule type="cellIs" dxfId="48" priority="51" operator="greaterThan">
      <formula>1</formula>
    </cfRule>
  </conditionalFormatting>
  <conditionalFormatting sqref="B40:N40 B82:M83">
    <cfRule type="cellIs" dxfId="47" priority="28" operator="equal">
      <formula>1</formula>
    </cfRule>
    <cfRule type="cellIs" dxfId="46" priority="29" operator="lessThan">
      <formula>1</formula>
    </cfRule>
    <cfRule type="cellIs" dxfId="45" priority="30" operator="greaterThan">
      <formula>1</formula>
    </cfRule>
  </conditionalFormatting>
  <conditionalFormatting sqref="B48:N48">
    <cfRule type="cellIs" dxfId="44" priority="46" operator="equal">
      <formula>1</formula>
    </cfRule>
    <cfRule type="cellIs" dxfId="43" priority="47" operator="lessThan">
      <formula>1</formula>
    </cfRule>
    <cfRule type="cellIs" dxfId="42" priority="48" operator="greaterThan">
      <formula>1</formula>
    </cfRule>
  </conditionalFormatting>
  <conditionalFormatting sqref="B56:N57">
    <cfRule type="cellIs" dxfId="41" priority="43" operator="equal">
      <formula>1</formula>
    </cfRule>
    <cfRule type="cellIs" dxfId="40" priority="44" operator="lessThan">
      <formula>1</formula>
    </cfRule>
    <cfRule type="cellIs" dxfId="39" priority="45" operator="greaterThan">
      <formula>1</formula>
    </cfRule>
  </conditionalFormatting>
  <conditionalFormatting sqref="B65:N66">
    <cfRule type="cellIs" dxfId="38" priority="40" operator="equal">
      <formula>1</formula>
    </cfRule>
    <cfRule type="cellIs" dxfId="37" priority="41" operator="lessThan">
      <formula>1</formula>
    </cfRule>
    <cfRule type="cellIs" dxfId="36" priority="42" operator="greaterThan">
      <formula>1</formula>
    </cfRule>
  </conditionalFormatting>
  <conditionalFormatting sqref="B73:N73 B74:M74">
    <cfRule type="cellIs" dxfId="35" priority="37" operator="equal">
      <formula>1</formula>
    </cfRule>
    <cfRule type="cellIs" dxfId="34" priority="38" operator="lessThan">
      <formula>1</formula>
    </cfRule>
    <cfRule type="cellIs" dxfId="33" priority="39" operator="greaterThan">
      <formula>1</formula>
    </cfRule>
  </conditionalFormatting>
  <conditionalFormatting sqref="B91:N91 B92:M92">
    <cfRule type="cellIs" dxfId="32" priority="34" operator="equal">
      <formula>1</formula>
    </cfRule>
    <cfRule type="cellIs" dxfId="31" priority="35" operator="lessThan">
      <formula>1</formula>
    </cfRule>
    <cfRule type="cellIs" dxfId="30" priority="36" operator="greaterThan">
      <formula>1</formula>
    </cfRule>
  </conditionalFormatting>
  <conditionalFormatting sqref="B115:N116">
    <cfRule type="cellIs" dxfId="29" priority="25" operator="equal">
      <formula>1</formula>
    </cfRule>
    <cfRule type="cellIs" dxfId="28" priority="26" operator="lessThan">
      <formula>1</formula>
    </cfRule>
    <cfRule type="cellIs" dxfId="27" priority="27" operator="greaterThan">
      <formula>1</formula>
    </cfRule>
  </conditionalFormatting>
  <conditionalFormatting sqref="B123:N124">
    <cfRule type="cellIs" dxfId="26" priority="22" operator="equal">
      <formula>1</formula>
    </cfRule>
    <cfRule type="cellIs" dxfId="25" priority="23" operator="lessThan">
      <formula>1</formula>
    </cfRule>
    <cfRule type="cellIs" dxfId="24" priority="24" operator="greaterThan">
      <formula>1</formula>
    </cfRule>
  </conditionalFormatting>
  <conditionalFormatting sqref="B138:N138">
    <cfRule type="cellIs" dxfId="23" priority="19" operator="equal">
      <formula>1</formula>
    </cfRule>
    <cfRule type="cellIs" dxfId="22" priority="20" operator="lessThan">
      <formula>1</formula>
    </cfRule>
    <cfRule type="cellIs" dxfId="21" priority="21" operator="greaterThan">
      <formula>1</formula>
    </cfRule>
  </conditionalFormatting>
  <conditionalFormatting sqref="B152:N152">
    <cfRule type="cellIs" dxfId="20" priority="16" operator="equal">
      <formula>1</formula>
    </cfRule>
    <cfRule type="cellIs" dxfId="19" priority="17" operator="lessThan">
      <formula>1</formula>
    </cfRule>
    <cfRule type="cellIs" dxfId="18" priority="18" operator="greaterThan">
      <formula>1</formula>
    </cfRule>
  </conditionalFormatting>
  <conditionalFormatting sqref="B159:N159">
    <cfRule type="cellIs" dxfId="17" priority="13" operator="equal">
      <formula>1</formula>
    </cfRule>
    <cfRule type="cellIs" dxfId="16" priority="14" operator="lessThan">
      <formula>1</formula>
    </cfRule>
    <cfRule type="cellIs" dxfId="15" priority="15" operator="greaterThan">
      <formula>1</formula>
    </cfRule>
  </conditionalFormatting>
  <conditionalFormatting sqref="B171:N171">
    <cfRule type="cellIs" dxfId="14" priority="10" operator="equal">
      <formula>1</formula>
    </cfRule>
    <cfRule type="cellIs" dxfId="13" priority="11" operator="lessThan">
      <formula>1</formula>
    </cfRule>
    <cfRule type="cellIs" dxfId="12" priority="12" operator="greaterThan">
      <formula>1</formula>
    </cfRule>
  </conditionalFormatting>
  <conditionalFormatting sqref="B184:N185">
    <cfRule type="cellIs" dxfId="11" priority="7" operator="equal">
      <formula>1</formula>
    </cfRule>
    <cfRule type="cellIs" dxfId="10" priority="8" operator="lessThan">
      <formula>1</formula>
    </cfRule>
    <cfRule type="cellIs" dxfId="9" priority="9" operator="greaterThan">
      <formula>1</formula>
    </cfRule>
  </conditionalFormatting>
  <conditionalFormatting sqref="B193:N193">
    <cfRule type="cellIs" dxfId="8" priority="1" operator="equal">
      <formula>0.85</formula>
    </cfRule>
    <cfRule type="cellIs" dxfId="7" priority="2" operator="lessThan">
      <formula>0.85</formula>
    </cfRule>
    <cfRule type="cellIs" dxfId="6" priority="3" operator="greaterThan">
      <formula>0.85</formula>
    </cfRule>
  </conditionalFormatting>
  <conditionalFormatting sqref="B194:N195">
    <cfRule type="cellIs" dxfId="5" priority="4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N82">
    <cfRule type="cellIs" dxfId="2" priority="31" operator="equal">
      <formula>1</formula>
    </cfRule>
    <cfRule type="cellIs" dxfId="1" priority="32" operator="lessThan">
      <formula>1</formula>
    </cfRule>
    <cfRule type="cellIs" dxfId="0" priority="33" operator="greaterThan">
      <formula>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760" t="s">
        <v>0</v>
      </c>
      <c r="G5" s="761"/>
      <c r="H5" s="760" t="s">
        <v>1</v>
      </c>
      <c r="I5" s="762"/>
      <c r="J5" s="762"/>
      <c r="K5" s="761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763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764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765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766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767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757">
        <v>14</v>
      </c>
      <c r="B105" s="757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758"/>
      <c r="B106" s="758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759" t="s">
        <v>398</v>
      </c>
      <c r="I115" s="759"/>
      <c r="J115" s="759"/>
      <c r="K115" s="759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770" t="s">
        <v>0</v>
      </c>
      <c r="H5" s="771"/>
      <c r="I5" s="772"/>
      <c r="J5" s="773" t="s">
        <v>1</v>
      </c>
      <c r="K5" s="773"/>
      <c r="L5" s="773"/>
      <c r="M5" s="773"/>
      <c r="N5" s="773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06" t="s">
        <v>175</v>
      </c>
      <c r="J7" s="32"/>
      <c r="K7" s="32">
        <v>1</v>
      </c>
      <c r="L7" s="32"/>
      <c r="M7" s="32"/>
      <c r="N7" s="209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09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09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09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09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09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09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09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09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09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09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09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09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09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09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09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09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09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06" t="s">
        <v>175</v>
      </c>
      <c r="J25" s="32"/>
      <c r="K25" s="32">
        <v>1</v>
      </c>
      <c r="L25" s="32"/>
      <c r="M25" s="32"/>
      <c r="N25" s="209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09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09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09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09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09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09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09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08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09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09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09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09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09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09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09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09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09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09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09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09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09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09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09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09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09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09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09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09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09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09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09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09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09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09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09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09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09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09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09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09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09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09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09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09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09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09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09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09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09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09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09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09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09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09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09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09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09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09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09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09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09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09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09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09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09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09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09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09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09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09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09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09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09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09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09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09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09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08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08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08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08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09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09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09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09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08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09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09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09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09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08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09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09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09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08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09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08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09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09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09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09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09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09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09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09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09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09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09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09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09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09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08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08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08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08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08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08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08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08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08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09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09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09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09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09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07"/>
    </row>
    <row r="152" spans="1:14" x14ac:dyDescent="0.25">
      <c r="C152" s="9"/>
      <c r="D152" s="13"/>
    </row>
    <row r="153" spans="1:14" x14ac:dyDescent="0.25">
      <c r="B153" s="84"/>
      <c r="C153" s="16"/>
      <c r="D153" s="769" t="s">
        <v>128</v>
      </c>
      <c r="E153" s="70" t="s">
        <v>111</v>
      </c>
      <c r="J153" s="768"/>
      <c r="K153" s="768"/>
      <c r="L153" s="768"/>
      <c r="M153" s="768"/>
    </row>
    <row r="154" spans="1:14" x14ac:dyDescent="0.25">
      <c r="B154" s="84"/>
      <c r="C154" s="16"/>
      <c r="D154" s="769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6"/>
  <sheetViews>
    <sheetView showGridLines="0"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5" sqref="E15"/>
    </sheetView>
  </sheetViews>
  <sheetFormatPr defaultColWidth="9.140625" defaultRowHeight="15" x14ac:dyDescent="0.25"/>
  <cols>
    <col min="1" max="1" width="4.5703125" style="261" customWidth="1"/>
    <col min="2" max="2" width="20.28515625" style="296" bestFit="1" customWidth="1"/>
    <col min="3" max="3" width="68.140625" style="296" bestFit="1" customWidth="1"/>
    <col min="4" max="4" width="74.28515625" style="264" customWidth="1"/>
    <col min="5" max="5" width="24.7109375" style="256" bestFit="1" customWidth="1"/>
    <col min="6" max="6" width="8.42578125" style="257" bestFit="1" customWidth="1"/>
    <col min="7" max="7" width="9.5703125" style="292" bestFit="1" customWidth="1"/>
    <col min="8" max="8" width="10.5703125" style="257" bestFit="1" customWidth="1"/>
    <col min="9" max="13" width="5.5703125" style="257" customWidth="1"/>
    <col min="14" max="14" width="9.85546875" style="257" customWidth="1"/>
    <col min="15" max="15" width="9.140625" style="341"/>
    <col min="16" max="16384" width="9.140625" style="258"/>
  </cols>
  <sheetData>
    <row r="1" spans="1:15" ht="18.75" x14ac:dyDescent="0.25">
      <c r="A1" s="260"/>
      <c r="B1" s="280"/>
      <c r="C1" s="295"/>
      <c r="D1" s="280" t="s">
        <v>199</v>
      </c>
      <c r="F1" s="11"/>
      <c r="G1" s="291"/>
      <c r="H1" s="11"/>
      <c r="I1" s="11"/>
      <c r="J1" s="11"/>
      <c r="K1" s="11"/>
      <c r="L1" s="11"/>
      <c r="M1" s="11"/>
      <c r="N1" s="11"/>
    </row>
    <row r="2" spans="1:15" ht="18.75" x14ac:dyDescent="0.25">
      <c r="A2" s="260"/>
      <c r="B2" s="280"/>
      <c r="C2" s="339"/>
      <c r="D2" s="280" t="s">
        <v>571</v>
      </c>
      <c r="F2" s="11"/>
      <c r="G2" s="291"/>
      <c r="H2" s="11"/>
      <c r="I2" s="11"/>
      <c r="J2" s="11"/>
      <c r="K2" s="11"/>
      <c r="L2" s="11"/>
      <c r="M2" s="11"/>
      <c r="N2" s="11"/>
    </row>
    <row r="3" spans="1:15" ht="18.75" x14ac:dyDescent="0.25">
      <c r="A3" s="260"/>
      <c r="B3" s="280"/>
      <c r="C3" s="295"/>
      <c r="D3" s="280" t="s">
        <v>570</v>
      </c>
      <c r="F3" s="11"/>
      <c r="G3" s="291"/>
      <c r="H3" s="11"/>
      <c r="I3" s="11"/>
      <c r="J3" s="11"/>
      <c r="K3" s="11"/>
      <c r="L3" s="11"/>
      <c r="M3" s="11"/>
      <c r="N3" s="11"/>
    </row>
    <row r="4" spans="1:15" x14ac:dyDescent="0.25">
      <c r="I4" s="256"/>
      <c r="J4" s="256"/>
      <c r="K4" s="256"/>
      <c r="L4" s="256"/>
      <c r="M4" s="256"/>
    </row>
    <row r="5" spans="1:15" x14ac:dyDescent="0.25">
      <c r="A5" s="262"/>
      <c r="B5" s="100"/>
      <c r="C5" s="100"/>
      <c r="D5" s="598"/>
      <c r="E5" s="615"/>
      <c r="F5" s="771" t="s">
        <v>0</v>
      </c>
      <c r="G5" s="771"/>
      <c r="H5" s="772"/>
      <c r="I5" s="761" t="s">
        <v>1</v>
      </c>
      <c r="J5" s="773"/>
      <c r="K5" s="773"/>
      <c r="L5" s="773"/>
      <c r="M5" s="773"/>
      <c r="N5" s="706"/>
      <c r="O5" s="706"/>
    </row>
    <row r="6" spans="1:15" x14ac:dyDescent="0.25">
      <c r="A6" s="4" t="s">
        <v>14</v>
      </c>
      <c r="B6" s="6" t="s">
        <v>2</v>
      </c>
      <c r="C6" s="6" t="s">
        <v>3</v>
      </c>
      <c r="D6" s="599" t="s">
        <v>98</v>
      </c>
      <c r="E6" s="599" t="s">
        <v>4</v>
      </c>
      <c r="F6" s="17" t="s">
        <v>5</v>
      </c>
      <c r="G6" s="632" t="s">
        <v>6</v>
      </c>
      <c r="H6" s="615" t="s">
        <v>476</v>
      </c>
      <c r="I6" s="615" t="s">
        <v>7</v>
      </c>
      <c r="J6" s="615" t="s">
        <v>8</v>
      </c>
      <c r="K6" s="615" t="s">
        <v>9</v>
      </c>
      <c r="L6" s="615" t="s">
        <v>10</v>
      </c>
      <c r="M6" s="615" t="s">
        <v>477</v>
      </c>
      <c r="N6" s="599" t="s">
        <v>439</v>
      </c>
      <c r="O6" s="599" t="s">
        <v>441</v>
      </c>
    </row>
    <row r="7" spans="1:15" s="340" customFormat="1" x14ac:dyDescent="0.25">
      <c r="A7" s="641">
        <v>1</v>
      </c>
      <c r="B7" s="642" t="s">
        <v>542</v>
      </c>
      <c r="C7" s="643" t="s">
        <v>586</v>
      </c>
      <c r="D7" s="644" t="s">
        <v>590</v>
      </c>
      <c r="E7" s="645" t="s">
        <v>115</v>
      </c>
      <c r="F7" s="646"/>
      <c r="G7" s="647">
        <v>1</v>
      </c>
      <c r="H7" s="648" t="str">
        <f t="shared" ref="H7:H48" si="0">IF(G7=1,"Eksternal",IF(F7=1,"Internal",0))</f>
        <v>Eksternal</v>
      </c>
      <c r="I7" s="649"/>
      <c r="J7" s="649"/>
      <c r="K7" s="649"/>
      <c r="L7" s="649">
        <v>1</v>
      </c>
      <c r="M7" s="650" t="str">
        <f t="shared" ref="M7:M48" si="1">IF(I7=1,"S",IF(J7=1,"W",IF(K7=1,"O",IF(L7=1,"T","-"))))</f>
        <v>T</v>
      </c>
      <c r="N7" s="341">
        <v>4</v>
      </c>
      <c r="O7" s="341">
        <v>-3</v>
      </c>
    </row>
    <row r="8" spans="1:15" s="340" customFormat="1" x14ac:dyDescent="0.25">
      <c r="A8" s="600">
        <v>2</v>
      </c>
      <c r="B8" s="602" t="s">
        <v>542</v>
      </c>
      <c r="C8" s="679" t="s">
        <v>862</v>
      </c>
      <c r="D8" s="616" t="s">
        <v>863</v>
      </c>
      <c r="E8" s="624" t="s">
        <v>115</v>
      </c>
      <c r="F8" s="633"/>
      <c r="G8" s="635">
        <v>1</v>
      </c>
      <c r="H8" s="630" t="str">
        <f t="shared" si="0"/>
        <v>Eksternal</v>
      </c>
      <c r="I8" s="638"/>
      <c r="J8" s="638"/>
      <c r="K8" s="638"/>
      <c r="L8" s="638">
        <v>1</v>
      </c>
      <c r="M8" s="631" t="str">
        <f t="shared" si="1"/>
        <v>T</v>
      </c>
      <c r="N8" s="341">
        <v>3</v>
      </c>
      <c r="O8" s="341">
        <v>-3</v>
      </c>
    </row>
    <row r="9" spans="1:15" s="340" customFormat="1" ht="30" x14ac:dyDescent="0.25">
      <c r="A9" s="600">
        <v>3</v>
      </c>
      <c r="B9" s="602" t="s">
        <v>542</v>
      </c>
      <c r="C9" s="613" t="s">
        <v>582</v>
      </c>
      <c r="D9" s="617" t="s">
        <v>584</v>
      </c>
      <c r="E9" s="624" t="s">
        <v>110</v>
      </c>
      <c r="F9" s="633"/>
      <c r="G9" s="635">
        <v>1</v>
      </c>
      <c r="H9" s="630" t="str">
        <f t="shared" si="0"/>
        <v>Eksternal</v>
      </c>
      <c r="I9" s="638"/>
      <c r="J9" s="638"/>
      <c r="K9" s="638">
        <v>1</v>
      </c>
      <c r="L9" s="638"/>
      <c r="M9" s="631" t="str">
        <f t="shared" si="1"/>
        <v>O</v>
      </c>
      <c r="N9" s="341">
        <v>3</v>
      </c>
      <c r="O9" s="341">
        <v>2</v>
      </c>
    </row>
    <row r="10" spans="1:15" s="340" customFormat="1" x14ac:dyDescent="0.25">
      <c r="A10" s="600">
        <v>4</v>
      </c>
      <c r="B10" s="603" t="s">
        <v>542</v>
      </c>
      <c r="C10" s="611" t="s">
        <v>585</v>
      </c>
      <c r="D10" s="616" t="s">
        <v>856</v>
      </c>
      <c r="E10" s="624" t="s">
        <v>110</v>
      </c>
      <c r="F10" s="633"/>
      <c r="G10" s="635">
        <v>1</v>
      </c>
      <c r="H10" s="630" t="str">
        <f t="shared" si="0"/>
        <v>Eksternal</v>
      </c>
      <c r="I10" s="638"/>
      <c r="J10" s="638"/>
      <c r="K10" s="638">
        <v>1</v>
      </c>
      <c r="L10" s="638"/>
      <c r="M10" s="631" t="str">
        <f t="shared" si="1"/>
        <v>O</v>
      </c>
      <c r="N10" s="341">
        <v>4</v>
      </c>
      <c r="O10" s="341">
        <v>4</v>
      </c>
    </row>
    <row r="11" spans="1:15" s="340" customFormat="1" x14ac:dyDescent="0.25">
      <c r="A11" s="641"/>
      <c r="B11" s="642" t="s">
        <v>541</v>
      </c>
      <c r="C11" s="682" t="s">
        <v>906</v>
      </c>
      <c r="D11" s="644" t="s">
        <v>907</v>
      </c>
      <c r="E11" s="700" t="s">
        <v>574</v>
      </c>
      <c r="F11" s="646">
        <v>1</v>
      </c>
      <c r="G11" s="647"/>
      <c r="H11" s="648" t="str">
        <f t="shared" si="0"/>
        <v>Internal</v>
      </c>
      <c r="I11" s="649"/>
      <c r="J11" s="649">
        <v>1</v>
      </c>
      <c r="K11" s="649"/>
      <c r="L11" s="649"/>
      <c r="M11" s="650" t="str">
        <f t="shared" si="1"/>
        <v>W</v>
      </c>
      <c r="N11" s="341">
        <v>2</v>
      </c>
      <c r="O11" s="341">
        <v>-2</v>
      </c>
    </row>
    <row r="12" spans="1:15" s="340" customFormat="1" x14ac:dyDescent="0.25">
      <c r="A12" s="651">
        <v>6</v>
      </c>
      <c r="B12" s="698" t="s">
        <v>541</v>
      </c>
      <c r="C12" s="660" t="s">
        <v>581</v>
      </c>
      <c r="D12" s="699" t="s">
        <v>857</v>
      </c>
      <c r="E12" s="652" t="s">
        <v>574</v>
      </c>
      <c r="F12" s="663">
        <v>1</v>
      </c>
      <c r="G12" s="664"/>
      <c r="H12" s="654" t="str">
        <f t="shared" si="0"/>
        <v>Internal</v>
      </c>
      <c r="I12" s="665"/>
      <c r="J12" s="665">
        <v>1</v>
      </c>
      <c r="K12" s="665"/>
      <c r="L12" s="665"/>
      <c r="M12" s="656" t="str">
        <f t="shared" si="1"/>
        <v>W</v>
      </c>
      <c r="N12" s="341">
        <v>3</v>
      </c>
      <c r="O12" s="341">
        <v>-3</v>
      </c>
    </row>
    <row r="13" spans="1:15" s="340" customFormat="1" x14ac:dyDescent="0.25">
      <c r="A13" s="600">
        <v>8</v>
      </c>
      <c r="B13" s="602" t="s">
        <v>568</v>
      </c>
      <c r="C13" s="679" t="s">
        <v>611</v>
      </c>
      <c r="D13" s="616" t="s">
        <v>612</v>
      </c>
      <c r="E13" s="624" t="s">
        <v>104</v>
      </c>
      <c r="F13" s="633">
        <v>1</v>
      </c>
      <c r="G13" s="635"/>
      <c r="H13" s="630" t="str">
        <f t="shared" si="0"/>
        <v>Internal</v>
      </c>
      <c r="I13" s="638"/>
      <c r="J13" s="638">
        <v>1</v>
      </c>
      <c r="K13" s="638"/>
      <c r="L13" s="638"/>
      <c r="M13" s="631" t="str">
        <f t="shared" si="1"/>
        <v>W</v>
      </c>
      <c r="N13" s="341">
        <v>4</v>
      </c>
      <c r="O13" s="341">
        <v>-3</v>
      </c>
    </row>
    <row r="14" spans="1:15" x14ac:dyDescent="0.25">
      <c r="A14" s="600">
        <v>9</v>
      </c>
      <c r="B14" s="604" t="s">
        <v>568</v>
      </c>
      <c r="C14" s="613" t="s">
        <v>614</v>
      </c>
      <c r="D14" s="617" t="s">
        <v>613</v>
      </c>
      <c r="E14" s="625" t="s">
        <v>117</v>
      </c>
      <c r="F14" s="633">
        <v>1</v>
      </c>
      <c r="G14" s="635"/>
      <c r="H14" s="630" t="str">
        <f t="shared" si="0"/>
        <v>Internal</v>
      </c>
      <c r="I14" s="638"/>
      <c r="J14" s="638">
        <v>1</v>
      </c>
      <c r="K14" s="638"/>
      <c r="L14" s="638"/>
      <c r="M14" s="631" t="str">
        <f t="shared" si="1"/>
        <v>W</v>
      </c>
      <c r="N14" s="341">
        <v>3</v>
      </c>
      <c r="O14" s="341">
        <v>-3</v>
      </c>
    </row>
    <row r="15" spans="1:15" ht="45" x14ac:dyDescent="0.25">
      <c r="A15" s="600">
        <v>5</v>
      </c>
      <c r="B15" s="607" t="s">
        <v>568</v>
      </c>
      <c r="C15" s="679" t="s">
        <v>908</v>
      </c>
      <c r="D15" s="616" t="s">
        <v>619</v>
      </c>
      <c r="E15" s="626" t="s">
        <v>110</v>
      </c>
      <c r="F15" s="600">
        <v>1</v>
      </c>
      <c r="G15" s="636"/>
      <c r="H15" s="630" t="str">
        <f t="shared" ref="H15" si="2">IF(G15=1,"Eksternal",IF(F15=1,"Internal",0))</f>
        <v>Internal</v>
      </c>
      <c r="I15" s="639">
        <v>1</v>
      </c>
      <c r="J15" s="639"/>
      <c r="K15" s="639"/>
      <c r="L15" s="639"/>
      <c r="M15" s="631" t="str">
        <f t="shared" ref="M15" si="3">IF(I15=1,"S",IF(J15=1,"W",IF(K15=1,"O",IF(L15=1,"T","-"))))</f>
        <v>S</v>
      </c>
      <c r="N15" s="341">
        <v>4</v>
      </c>
      <c r="O15" s="341">
        <v>4</v>
      </c>
    </row>
    <row r="16" spans="1:15" x14ac:dyDescent="0.25">
      <c r="A16" s="600">
        <v>10</v>
      </c>
      <c r="B16" s="605" t="s">
        <v>568</v>
      </c>
      <c r="C16" s="679" t="s">
        <v>909</v>
      </c>
      <c r="D16" s="616" t="s">
        <v>896</v>
      </c>
      <c r="E16" s="627" t="s">
        <v>108</v>
      </c>
      <c r="F16" s="600">
        <v>1</v>
      </c>
      <c r="G16" s="636"/>
      <c r="H16" s="630" t="str">
        <f t="shared" si="0"/>
        <v>Internal</v>
      </c>
      <c r="I16" s="639">
        <v>1</v>
      </c>
      <c r="J16" s="639"/>
      <c r="K16" s="639"/>
      <c r="L16" s="639"/>
      <c r="M16" s="631" t="str">
        <f t="shared" si="1"/>
        <v>S</v>
      </c>
      <c r="N16" s="341">
        <v>4</v>
      </c>
      <c r="O16" s="341">
        <v>4</v>
      </c>
    </row>
    <row r="17" spans="1:15" x14ac:dyDescent="0.25">
      <c r="A17" s="600">
        <v>11</v>
      </c>
      <c r="B17" s="607" t="s">
        <v>568</v>
      </c>
      <c r="C17" s="679" t="s">
        <v>897</v>
      </c>
      <c r="D17" s="617" t="s">
        <v>577</v>
      </c>
      <c r="E17" s="626" t="s">
        <v>610</v>
      </c>
      <c r="F17" s="600">
        <v>1</v>
      </c>
      <c r="G17" s="636"/>
      <c r="H17" s="630" t="str">
        <f t="shared" si="0"/>
        <v>Internal</v>
      </c>
      <c r="I17" s="639">
        <v>1</v>
      </c>
      <c r="J17" s="639"/>
      <c r="K17" s="639"/>
      <c r="L17" s="639"/>
      <c r="M17" s="631" t="str">
        <f t="shared" si="1"/>
        <v>S</v>
      </c>
      <c r="N17" s="341">
        <v>4</v>
      </c>
      <c r="O17" s="341">
        <v>4</v>
      </c>
    </row>
    <row r="18" spans="1:15" x14ac:dyDescent="0.25">
      <c r="A18" s="600">
        <v>12</v>
      </c>
      <c r="B18" s="605" t="s">
        <v>568</v>
      </c>
      <c r="C18" s="679" t="s">
        <v>858</v>
      </c>
      <c r="D18" s="616" t="s">
        <v>859</v>
      </c>
      <c r="E18" s="627" t="s">
        <v>108</v>
      </c>
      <c r="F18" s="600">
        <v>1</v>
      </c>
      <c r="G18" s="636"/>
      <c r="H18" s="630" t="str">
        <f t="shared" si="0"/>
        <v>Internal</v>
      </c>
      <c r="I18" s="639"/>
      <c r="J18" s="639">
        <v>1</v>
      </c>
      <c r="K18" s="639"/>
      <c r="L18" s="639"/>
      <c r="M18" s="631" t="str">
        <f t="shared" si="1"/>
        <v>W</v>
      </c>
      <c r="N18" s="341">
        <v>3</v>
      </c>
      <c r="O18" s="341">
        <v>-3</v>
      </c>
    </row>
    <row r="19" spans="1:15" x14ac:dyDescent="0.25">
      <c r="A19" s="600">
        <v>13</v>
      </c>
      <c r="B19" s="607" t="s">
        <v>568</v>
      </c>
      <c r="C19" s="679" t="s">
        <v>899</v>
      </c>
      <c r="D19" s="616" t="s">
        <v>898</v>
      </c>
      <c r="E19" s="624" t="s">
        <v>108</v>
      </c>
      <c r="F19" s="600">
        <v>1</v>
      </c>
      <c r="G19" s="636"/>
      <c r="H19" s="630" t="str">
        <f t="shared" si="0"/>
        <v>Internal</v>
      </c>
      <c r="I19" s="639">
        <v>1</v>
      </c>
      <c r="J19" s="639"/>
      <c r="K19" s="639"/>
      <c r="L19" s="639"/>
      <c r="M19" s="631" t="str">
        <f t="shared" si="1"/>
        <v>S</v>
      </c>
      <c r="N19" s="341">
        <v>4</v>
      </c>
      <c r="O19" s="341">
        <v>3</v>
      </c>
    </row>
    <row r="20" spans="1:15" x14ac:dyDescent="0.25">
      <c r="A20" s="600">
        <v>14</v>
      </c>
      <c r="B20" s="606" t="s">
        <v>568</v>
      </c>
      <c r="C20" s="679" t="s">
        <v>615</v>
      </c>
      <c r="D20" s="616" t="s">
        <v>860</v>
      </c>
      <c r="E20" s="624" t="s">
        <v>108</v>
      </c>
      <c r="F20" s="600">
        <v>1</v>
      </c>
      <c r="G20" s="636"/>
      <c r="H20" s="630" t="str">
        <f t="shared" si="0"/>
        <v>Internal</v>
      </c>
      <c r="I20" s="639"/>
      <c r="J20" s="639">
        <v>1</v>
      </c>
      <c r="K20" s="639"/>
      <c r="L20" s="639"/>
      <c r="M20" s="631" t="str">
        <f t="shared" si="1"/>
        <v>W</v>
      </c>
      <c r="N20" s="341">
        <v>4</v>
      </c>
      <c r="O20" s="341">
        <v>-4</v>
      </c>
    </row>
    <row r="21" spans="1:15" x14ac:dyDescent="0.25">
      <c r="A21" s="600">
        <v>15</v>
      </c>
      <c r="B21" s="602" t="s">
        <v>568</v>
      </c>
      <c r="C21" s="679" t="s">
        <v>861</v>
      </c>
      <c r="D21" s="618" t="s">
        <v>616</v>
      </c>
      <c r="E21" s="624" t="s">
        <v>99</v>
      </c>
      <c r="F21" s="600">
        <v>1</v>
      </c>
      <c r="G21" s="636"/>
      <c r="H21" s="630" t="str">
        <f t="shared" si="0"/>
        <v>Internal</v>
      </c>
      <c r="I21" s="639">
        <v>1</v>
      </c>
      <c r="J21" s="639"/>
      <c r="K21" s="639"/>
      <c r="L21" s="639"/>
      <c r="M21" s="631" t="str">
        <f t="shared" si="1"/>
        <v>S</v>
      </c>
      <c r="N21" s="341">
        <v>4</v>
      </c>
      <c r="O21" s="341">
        <v>3</v>
      </c>
    </row>
    <row r="22" spans="1:15" x14ac:dyDescent="0.25">
      <c r="A22" s="600">
        <v>17</v>
      </c>
      <c r="B22" s="608" t="s">
        <v>568</v>
      </c>
      <c r="C22" s="679" t="s">
        <v>911</v>
      </c>
      <c r="D22" s="701" t="s">
        <v>910</v>
      </c>
      <c r="E22" s="624" t="s">
        <v>574</v>
      </c>
      <c r="F22" s="600">
        <v>1</v>
      </c>
      <c r="G22" s="636"/>
      <c r="H22" s="630" t="str">
        <f t="shared" si="0"/>
        <v>Internal</v>
      </c>
      <c r="I22" s="639"/>
      <c r="J22" s="639">
        <v>1</v>
      </c>
      <c r="K22" s="639"/>
      <c r="L22" s="639"/>
      <c r="M22" s="631" t="str">
        <f t="shared" si="1"/>
        <v>W</v>
      </c>
      <c r="N22" s="341">
        <v>3</v>
      </c>
      <c r="O22" s="341">
        <v>-4</v>
      </c>
    </row>
    <row r="23" spans="1:15" x14ac:dyDescent="0.25">
      <c r="A23" s="600">
        <v>18</v>
      </c>
      <c r="B23" s="607" t="s">
        <v>568</v>
      </c>
      <c r="C23" s="614" t="s">
        <v>572</v>
      </c>
      <c r="D23" s="619" t="s">
        <v>623</v>
      </c>
      <c r="E23" s="628" t="s">
        <v>108</v>
      </c>
      <c r="F23" s="634">
        <v>1</v>
      </c>
      <c r="G23" s="637"/>
      <c r="H23" s="630" t="str">
        <f t="shared" si="0"/>
        <v>Internal</v>
      </c>
      <c r="I23" s="640">
        <v>1</v>
      </c>
      <c r="J23" s="640"/>
      <c r="K23" s="640"/>
      <c r="L23" s="640"/>
      <c r="M23" s="631" t="str">
        <f t="shared" si="1"/>
        <v>S</v>
      </c>
      <c r="N23" s="341">
        <v>4</v>
      </c>
      <c r="O23" s="341">
        <v>4</v>
      </c>
    </row>
    <row r="24" spans="1:15" x14ac:dyDescent="0.25">
      <c r="A24" s="600">
        <v>19</v>
      </c>
      <c r="B24" s="607" t="s">
        <v>568</v>
      </c>
      <c r="C24" s="679" t="s">
        <v>901</v>
      </c>
      <c r="D24" s="616" t="s">
        <v>900</v>
      </c>
      <c r="E24" s="624" t="s">
        <v>104</v>
      </c>
      <c r="F24" s="600">
        <v>1</v>
      </c>
      <c r="G24" s="636"/>
      <c r="H24" s="630" t="str">
        <f t="shared" si="0"/>
        <v>Internal</v>
      </c>
      <c r="I24" s="639"/>
      <c r="J24" s="639">
        <v>1</v>
      </c>
      <c r="K24" s="636"/>
      <c r="L24" s="639"/>
      <c r="M24" s="631" t="str">
        <f t="shared" si="1"/>
        <v>W</v>
      </c>
      <c r="N24" s="341">
        <v>4</v>
      </c>
      <c r="O24" s="341">
        <v>3</v>
      </c>
    </row>
    <row r="25" spans="1:15" x14ac:dyDescent="0.25">
      <c r="A25" s="600">
        <v>20</v>
      </c>
      <c r="B25" s="605" t="s">
        <v>568</v>
      </c>
      <c r="C25" s="679" t="s">
        <v>864</v>
      </c>
      <c r="D25" s="620" t="s">
        <v>589</v>
      </c>
      <c r="E25" s="627" t="s">
        <v>108</v>
      </c>
      <c r="F25" s="600">
        <v>1</v>
      </c>
      <c r="G25" s="636"/>
      <c r="H25" s="630" t="str">
        <f t="shared" si="0"/>
        <v>Internal</v>
      </c>
      <c r="I25" s="639"/>
      <c r="J25" s="639">
        <v>1</v>
      </c>
      <c r="K25" s="639"/>
      <c r="L25" s="639"/>
      <c r="M25" s="631" t="str">
        <f t="shared" si="1"/>
        <v>W</v>
      </c>
      <c r="N25" s="341">
        <v>3</v>
      </c>
      <c r="O25" s="341">
        <v>-3</v>
      </c>
    </row>
    <row r="26" spans="1:15" x14ac:dyDescent="0.25">
      <c r="A26" s="600">
        <v>21</v>
      </c>
      <c r="B26" s="602" t="s">
        <v>568</v>
      </c>
      <c r="C26" s="679" t="s">
        <v>865</v>
      </c>
      <c r="D26" s="616" t="s">
        <v>866</v>
      </c>
      <c r="E26" s="624" t="s">
        <v>108</v>
      </c>
      <c r="F26" s="633">
        <v>1</v>
      </c>
      <c r="G26" s="635"/>
      <c r="H26" s="630" t="str">
        <f t="shared" si="0"/>
        <v>Internal</v>
      </c>
      <c r="I26" s="638"/>
      <c r="J26" s="638">
        <v>1</v>
      </c>
      <c r="K26" s="638"/>
      <c r="L26" s="638"/>
      <c r="M26" s="631" t="str">
        <f t="shared" si="1"/>
        <v>W</v>
      </c>
      <c r="N26" s="341">
        <v>3</v>
      </c>
      <c r="O26" s="341">
        <v>-2</v>
      </c>
    </row>
    <row r="27" spans="1:15" x14ac:dyDescent="0.25">
      <c r="A27" s="600">
        <v>22</v>
      </c>
      <c r="B27" s="606" t="s">
        <v>568</v>
      </c>
      <c r="C27" s="679" t="s">
        <v>867</v>
      </c>
      <c r="D27" s="616" t="s">
        <v>868</v>
      </c>
      <c r="E27" s="624" t="s">
        <v>101</v>
      </c>
      <c r="F27" s="600">
        <v>1</v>
      </c>
      <c r="G27" s="636"/>
      <c r="H27" s="630" t="str">
        <f t="shared" si="0"/>
        <v>Internal</v>
      </c>
      <c r="I27" s="639">
        <v>1</v>
      </c>
      <c r="J27" s="639"/>
      <c r="K27" s="639"/>
      <c r="L27" s="639"/>
      <c r="M27" s="631" t="str">
        <f t="shared" si="1"/>
        <v>S</v>
      </c>
      <c r="N27" s="341">
        <v>4</v>
      </c>
      <c r="O27" s="341">
        <v>3</v>
      </c>
    </row>
    <row r="28" spans="1:15" x14ac:dyDescent="0.25">
      <c r="A28" s="600">
        <v>23</v>
      </c>
      <c r="B28" s="608" t="s">
        <v>568</v>
      </c>
      <c r="C28" s="683" t="s">
        <v>869</v>
      </c>
      <c r="D28" s="616" t="s">
        <v>870</v>
      </c>
      <c r="E28" s="624" t="s">
        <v>108</v>
      </c>
      <c r="F28" s="600">
        <v>1</v>
      </c>
      <c r="G28" s="636"/>
      <c r="H28" s="630" t="str">
        <f t="shared" si="0"/>
        <v>Internal</v>
      </c>
      <c r="I28" s="639"/>
      <c r="J28" s="639">
        <v>1</v>
      </c>
      <c r="K28" s="639"/>
      <c r="L28" s="639"/>
      <c r="M28" s="631" t="str">
        <f t="shared" si="1"/>
        <v>W</v>
      </c>
      <c r="N28" s="341">
        <v>4</v>
      </c>
      <c r="O28" s="341">
        <v>-3</v>
      </c>
    </row>
    <row r="29" spans="1:15" x14ac:dyDescent="0.25">
      <c r="A29" s="600">
        <v>24</v>
      </c>
      <c r="B29" s="606" t="s">
        <v>568</v>
      </c>
      <c r="C29" s="683" t="s">
        <v>871</v>
      </c>
      <c r="D29" s="616" t="s">
        <v>872</v>
      </c>
      <c r="E29" s="624" t="s">
        <v>99</v>
      </c>
      <c r="F29" s="600">
        <v>1</v>
      </c>
      <c r="G29" s="636"/>
      <c r="H29" s="630" t="str">
        <f t="shared" si="0"/>
        <v>Internal</v>
      </c>
      <c r="I29" s="639"/>
      <c r="J29" s="639">
        <v>1</v>
      </c>
      <c r="K29" s="639"/>
      <c r="L29" s="639"/>
      <c r="M29" s="631" t="str">
        <f t="shared" si="1"/>
        <v>W</v>
      </c>
      <c r="N29" s="341">
        <v>4</v>
      </c>
      <c r="O29" s="341">
        <v>-4</v>
      </c>
    </row>
    <row r="30" spans="1:15" x14ac:dyDescent="0.25">
      <c r="A30" s="600">
        <v>25</v>
      </c>
      <c r="B30" s="608" t="s">
        <v>568</v>
      </c>
      <c r="C30" s="679" t="s">
        <v>873</v>
      </c>
      <c r="D30" s="616" t="s">
        <v>617</v>
      </c>
      <c r="E30" s="624" t="s">
        <v>99</v>
      </c>
      <c r="F30" s="600">
        <v>1</v>
      </c>
      <c r="G30" s="636"/>
      <c r="H30" s="630" t="str">
        <f t="shared" si="0"/>
        <v>Internal</v>
      </c>
      <c r="I30" s="639">
        <v>1</v>
      </c>
      <c r="J30" s="639"/>
      <c r="K30" s="639"/>
      <c r="L30" s="639"/>
      <c r="M30" s="631" t="str">
        <f t="shared" si="1"/>
        <v>S</v>
      </c>
      <c r="N30" s="341">
        <v>3</v>
      </c>
      <c r="O30" s="341">
        <v>3</v>
      </c>
    </row>
    <row r="31" spans="1:15" x14ac:dyDescent="0.25">
      <c r="A31" s="600">
        <v>26</v>
      </c>
      <c r="B31" s="605" t="s">
        <v>568</v>
      </c>
      <c r="C31" s="612" t="s">
        <v>579</v>
      </c>
      <c r="D31" s="618" t="s">
        <v>580</v>
      </c>
      <c r="E31" s="624" t="s">
        <v>117</v>
      </c>
      <c r="F31" s="600">
        <v>1</v>
      </c>
      <c r="G31" s="636"/>
      <c r="H31" s="630" t="str">
        <f t="shared" si="0"/>
        <v>Internal</v>
      </c>
      <c r="I31" s="639"/>
      <c r="J31" s="639">
        <v>1</v>
      </c>
      <c r="K31" s="639"/>
      <c r="L31" s="639"/>
      <c r="M31" s="631" t="str">
        <f t="shared" si="1"/>
        <v>W</v>
      </c>
      <c r="N31" s="341">
        <v>4</v>
      </c>
      <c r="O31" s="341">
        <v>-4</v>
      </c>
    </row>
    <row r="32" spans="1:15" x14ac:dyDescent="0.25">
      <c r="A32" s="600">
        <v>27</v>
      </c>
      <c r="B32" s="609" t="s">
        <v>568</v>
      </c>
      <c r="C32" s="679" t="s">
        <v>874</v>
      </c>
      <c r="D32" s="616" t="s">
        <v>902</v>
      </c>
      <c r="E32" s="695" t="s">
        <v>101</v>
      </c>
      <c r="F32" s="600">
        <v>1</v>
      </c>
      <c r="G32" s="636"/>
      <c r="H32" s="630" t="str">
        <f t="shared" si="0"/>
        <v>Internal</v>
      </c>
      <c r="I32" s="639">
        <v>1</v>
      </c>
      <c r="J32" s="639"/>
      <c r="K32" s="639"/>
      <c r="L32" s="639"/>
      <c r="M32" s="631" t="str">
        <f t="shared" si="1"/>
        <v>S</v>
      </c>
      <c r="N32" s="341">
        <v>3</v>
      </c>
      <c r="O32" s="341">
        <v>4</v>
      </c>
    </row>
    <row r="33" spans="1:15" x14ac:dyDescent="0.25">
      <c r="A33" s="600">
        <v>28</v>
      </c>
      <c r="B33" s="608" t="s">
        <v>568</v>
      </c>
      <c r="C33" s="679" t="s">
        <v>875</v>
      </c>
      <c r="D33" s="616" t="s">
        <v>876</v>
      </c>
      <c r="E33" s="625" t="s">
        <v>108</v>
      </c>
      <c r="F33" s="600">
        <v>1</v>
      </c>
      <c r="G33" s="636"/>
      <c r="H33" s="630" t="str">
        <f t="shared" si="0"/>
        <v>Internal</v>
      </c>
      <c r="I33" s="639">
        <v>1</v>
      </c>
      <c r="J33" s="639"/>
      <c r="K33" s="639"/>
      <c r="L33" s="639"/>
      <c r="M33" s="631" t="str">
        <f t="shared" si="1"/>
        <v>S</v>
      </c>
      <c r="N33" s="341">
        <v>4</v>
      </c>
      <c r="O33" s="341">
        <v>3</v>
      </c>
    </row>
    <row r="34" spans="1:15" x14ac:dyDescent="0.25">
      <c r="A34" s="600">
        <v>30</v>
      </c>
      <c r="B34" s="609" t="s">
        <v>568</v>
      </c>
      <c r="C34" s="679" t="s">
        <v>618</v>
      </c>
      <c r="D34" s="616" t="s">
        <v>877</v>
      </c>
      <c r="E34" s="627" t="s">
        <v>188</v>
      </c>
      <c r="F34" s="600">
        <v>1</v>
      </c>
      <c r="G34" s="636"/>
      <c r="H34" s="630" t="str">
        <f t="shared" si="0"/>
        <v>Internal</v>
      </c>
      <c r="I34" s="639"/>
      <c r="J34" s="639">
        <v>1</v>
      </c>
      <c r="K34" s="639"/>
      <c r="L34" s="639"/>
      <c r="M34" s="631" t="str">
        <f t="shared" si="1"/>
        <v>W</v>
      </c>
      <c r="N34" s="341">
        <v>4</v>
      </c>
      <c r="O34" s="341">
        <v>-4</v>
      </c>
    </row>
    <row r="35" spans="1:15" x14ac:dyDescent="0.25">
      <c r="A35" s="600">
        <v>42</v>
      </c>
      <c r="B35" s="608" t="s">
        <v>568</v>
      </c>
      <c r="C35" s="679" t="s">
        <v>890</v>
      </c>
      <c r="D35" s="616" t="s">
        <v>889</v>
      </c>
      <c r="E35" s="625" t="s">
        <v>110</v>
      </c>
      <c r="F35" s="600">
        <v>1</v>
      </c>
      <c r="G35" s="636"/>
      <c r="H35" s="630" t="str">
        <f t="shared" ref="H35" si="4">IF(G35=1,"Eksternal",IF(F35=1,"Internal",0))</f>
        <v>Internal</v>
      </c>
      <c r="I35" s="639">
        <v>1</v>
      </c>
      <c r="J35" s="639"/>
      <c r="K35" s="639"/>
      <c r="L35" s="639"/>
      <c r="M35" s="631" t="str">
        <f t="shared" ref="M35" si="5">IF(I35=1,"S",IF(J35=1,"W",IF(K35=1,"O",IF(L35=1,"T","-"))))</f>
        <v>S</v>
      </c>
      <c r="N35" s="341">
        <v>4</v>
      </c>
      <c r="O35" s="341">
        <v>4</v>
      </c>
    </row>
    <row r="36" spans="1:15" x14ac:dyDescent="0.25">
      <c r="A36" s="600">
        <v>31</v>
      </c>
      <c r="B36" s="609" t="s">
        <v>568</v>
      </c>
      <c r="C36" s="679" t="s">
        <v>878</v>
      </c>
      <c r="D36" s="616" t="s">
        <v>879</v>
      </c>
      <c r="E36" s="627" t="s">
        <v>108</v>
      </c>
      <c r="F36" s="600">
        <v>1</v>
      </c>
      <c r="G36" s="636"/>
      <c r="H36" s="630" t="str">
        <f t="shared" si="0"/>
        <v>Internal</v>
      </c>
      <c r="I36" s="639"/>
      <c r="J36" s="639">
        <v>1</v>
      </c>
      <c r="K36" s="639"/>
      <c r="L36" s="639"/>
      <c r="M36" s="631" t="str">
        <f t="shared" si="1"/>
        <v>W</v>
      </c>
      <c r="N36" s="341">
        <v>4</v>
      </c>
      <c r="O36" s="341">
        <v>-3</v>
      </c>
    </row>
    <row r="37" spans="1:15" x14ac:dyDescent="0.25">
      <c r="A37" s="600">
        <v>37</v>
      </c>
      <c r="B37" s="608" t="s">
        <v>568</v>
      </c>
      <c r="C37" s="679" t="s">
        <v>885</v>
      </c>
      <c r="D37" s="616" t="s">
        <v>884</v>
      </c>
      <c r="E37" s="625" t="s">
        <v>101</v>
      </c>
      <c r="F37" s="600">
        <v>1</v>
      </c>
      <c r="G37" s="636"/>
      <c r="H37" s="630" t="str">
        <f t="shared" ref="H37" si="6">IF(G37=1,"Eksternal",IF(F37=1,"Internal",0))</f>
        <v>Internal</v>
      </c>
      <c r="I37" s="639"/>
      <c r="J37" s="639">
        <v>1</v>
      </c>
      <c r="K37" s="639"/>
      <c r="L37" s="639"/>
      <c r="M37" s="631" t="str">
        <f t="shared" ref="M37" si="7">IF(I37=1,"S",IF(J37=1,"W",IF(K37=1,"O",IF(L37=1,"T","-"))))</f>
        <v>W</v>
      </c>
      <c r="N37" s="341">
        <v>3</v>
      </c>
      <c r="O37" s="341">
        <v>-4</v>
      </c>
    </row>
    <row r="38" spans="1:15" x14ac:dyDescent="0.25">
      <c r="A38" s="600">
        <v>32</v>
      </c>
      <c r="B38" s="609" t="s">
        <v>568</v>
      </c>
      <c r="C38" s="679" t="s">
        <v>880</v>
      </c>
      <c r="D38" s="616" t="s">
        <v>881</v>
      </c>
      <c r="E38" s="627" t="s">
        <v>108</v>
      </c>
      <c r="F38" s="600">
        <v>1</v>
      </c>
      <c r="G38" s="636"/>
      <c r="H38" s="630" t="str">
        <f t="shared" si="0"/>
        <v>Internal</v>
      </c>
      <c r="I38" s="639"/>
      <c r="J38" s="639">
        <v>1</v>
      </c>
      <c r="K38" s="639"/>
      <c r="L38" s="639"/>
      <c r="M38" s="631" t="str">
        <f t="shared" si="1"/>
        <v>W</v>
      </c>
      <c r="N38" s="341">
        <v>4</v>
      </c>
      <c r="O38" s="341">
        <v>-4</v>
      </c>
    </row>
    <row r="39" spans="1:15" ht="30" x14ac:dyDescent="0.25">
      <c r="A39" s="651">
        <v>34</v>
      </c>
      <c r="B39" s="666" t="s">
        <v>568</v>
      </c>
      <c r="C39" s="680" t="s">
        <v>882</v>
      </c>
      <c r="D39" s="661" t="s">
        <v>583</v>
      </c>
      <c r="E39" s="662" t="s">
        <v>108</v>
      </c>
      <c r="F39" s="651">
        <v>1</v>
      </c>
      <c r="G39" s="653"/>
      <c r="H39" s="654" t="str">
        <f t="shared" si="0"/>
        <v>Internal</v>
      </c>
      <c r="I39" s="655"/>
      <c r="J39" s="655">
        <v>1</v>
      </c>
      <c r="K39" s="655"/>
      <c r="L39" s="655"/>
      <c r="M39" s="656" t="str">
        <f t="shared" si="1"/>
        <v>W</v>
      </c>
      <c r="N39" s="341">
        <v>4</v>
      </c>
      <c r="O39" s="341">
        <v>-3</v>
      </c>
    </row>
    <row r="40" spans="1:15" ht="30" x14ac:dyDescent="0.25">
      <c r="A40" s="667">
        <v>35</v>
      </c>
      <c r="B40" s="668" t="s">
        <v>547</v>
      </c>
      <c r="C40" s="696" t="s">
        <v>903</v>
      </c>
      <c r="D40" s="684" t="s">
        <v>622</v>
      </c>
      <c r="E40" s="669" t="s">
        <v>101</v>
      </c>
      <c r="F40" s="667"/>
      <c r="G40" s="670">
        <v>1</v>
      </c>
      <c r="H40" s="671" t="str">
        <f t="shared" si="0"/>
        <v>Eksternal</v>
      </c>
      <c r="I40" s="672"/>
      <c r="J40" s="672"/>
      <c r="K40" s="672">
        <v>1</v>
      </c>
      <c r="L40" s="672"/>
      <c r="M40" s="673" t="str">
        <f t="shared" si="1"/>
        <v>O</v>
      </c>
      <c r="N40" s="341">
        <v>3</v>
      </c>
      <c r="O40" s="341">
        <v>3</v>
      </c>
    </row>
    <row r="41" spans="1:15" x14ac:dyDescent="0.25">
      <c r="A41" s="641">
        <v>36</v>
      </c>
      <c r="B41" s="674" t="s">
        <v>548</v>
      </c>
      <c r="C41" s="682" t="s">
        <v>578</v>
      </c>
      <c r="D41" s="644" t="s">
        <v>883</v>
      </c>
      <c r="E41" s="657" t="s">
        <v>188</v>
      </c>
      <c r="F41" s="641"/>
      <c r="G41" s="658">
        <v>1</v>
      </c>
      <c r="H41" s="648" t="str">
        <f t="shared" si="0"/>
        <v>Eksternal</v>
      </c>
      <c r="I41" s="659"/>
      <c r="J41" s="659"/>
      <c r="K41" s="659">
        <v>1</v>
      </c>
      <c r="L41" s="659"/>
      <c r="M41" s="650" t="str">
        <f t="shared" si="1"/>
        <v>O</v>
      </c>
      <c r="N41" s="341">
        <v>4</v>
      </c>
      <c r="O41" s="341">
        <v>4</v>
      </c>
    </row>
    <row r="42" spans="1:15" x14ac:dyDescent="0.25">
      <c r="A42" s="651"/>
      <c r="B42" s="676" t="s">
        <v>548</v>
      </c>
      <c r="C42" s="680" t="s">
        <v>904</v>
      </c>
      <c r="D42" s="661" t="s">
        <v>905</v>
      </c>
      <c r="E42" s="697" t="s">
        <v>188</v>
      </c>
      <c r="F42" s="651"/>
      <c r="G42" s="653">
        <v>1</v>
      </c>
      <c r="H42" s="654" t="str">
        <f t="shared" si="0"/>
        <v>Eksternal</v>
      </c>
      <c r="I42" s="655"/>
      <c r="J42" s="655"/>
      <c r="K42" s="655">
        <v>1</v>
      </c>
      <c r="L42" s="655"/>
      <c r="M42" s="656" t="str">
        <f t="shared" si="1"/>
        <v>O</v>
      </c>
      <c r="N42" s="341">
        <v>3</v>
      </c>
      <c r="O42" s="341">
        <v>3</v>
      </c>
    </row>
    <row r="43" spans="1:15" x14ac:dyDescent="0.25">
      <c r="A43" s="600">
        <v>38</v>
      </c>
      <c r="B43" s="602" t="s">
        <v>566</v>
      </c>
      <c r="C43" s="679" t="s">
        <v>886</v>
      </c>
      <c r="D43" s="621" t="s">
        <v>573</v>
      </c>
      <c r="E43" s="624" t="s">
        <v>101</v>
      </c>
      <c r="F43" s="633"/>
      <c r="G43" s="635">
        <v>1</v>
      </c>
      <c r="H43" s="630" t="str">
        <f t="shared" si="0"/>
        <v>Eksternal</v>
      </c>
      <c r="I43" s="638"/>
      <c r="J43" s="638"/>
      <c r="K43" s="638">
        <v>1</v>
      </c>
      <c r="L43" s="638"/>
      <c r="M43" s="631" t="str">
        <f t="shared" si="1"/>
        <v>O</v>
      </c>
      <c r="N43" s="341">
        <v>4</v>
      </c>
      <c r="O43" s="341">
        <v>4</v>
      </c>
    </row>
    <row r="44" spans="1:15" x14ac:dyDescent="0.25">
      <c r="A44" s="600">
        <v>39</v>
      </c>
      <c r="B44" s="608" t="s">
        <v>566</v>
      </c>
      <c r="C44" s="679" t="s">
        <v>887</v>
      </c>
      <c r="D44" s="616" t="s">
        <v>888</v>
      </c>
      <c r="E44" s="625" t="s">
        <v>101</v>
      </c>
      <c r="F44" s="600"/>
      <c r="G44" s="636">
        <v>1</v>
      </c>
      <c r="H44" s="630" t="str">
        <f t="shared" si="0"/>
        <v>Eksternal</v>
      </c>
      <c r="I44" s="639"/>
      <c r="J44" s="639"/>
      <c r="K44" s="639"/>
      <c r="L44" s="639">
        <v>1</v>
      </c>
      <c r="M44" s="631" t="str">
        <f t="shared" si="1"/>
        <v>T</v>
      </c>
      <c r="N44" s="341">
        <v>4</v>
      </c>
      <c r="O44" s="341">
        <v>-4</v>
      </c>
    </row>
    <row r="45" spans="1:15" x14ac:dyDescent="0.25">
      <c r="A45" s="600"/>
      <c r="B45" s="678" t="s">
        <v>566</v>
      </c>
      <c r="C45" s="679" t="s">
        <v>893</v>
      </c>
      <c r="D45" s="616" t="s">
        <v>895</v>
      </c>
      <c r="E45" s="695" t="s">
        <v>112</v>
      </c>
      <c r="F45" s="600"/>
      <c r="G45" s="636">
        <v>1</v>
      </c>
      <c r="H45" s="630" t="str">
        <f t="shared" si="0"/>
        <v>Eksternal</v>
      </c>
      <c r="I45" s="639"/>
      <c r="J45" s="639"/>
      <c r="K45" s="639">
        <v>1</v>
      </c>
      <c r="L45" s="639"/>
      <c r="M45" s="631" t="str">
        <f t="shared" si="1"/>
        <v>O</v>
      </c>
      <c r="N45" s="341">
        <v>3</v>
      </c>
      <c r="O45" s="341">
        <v>2</v>
      </c>
    </row>
    <row r="46" spans="1:15" x14ac:dyDescent="0.25">
      <c r="A46" s="600"/>
      <c r="B46" s="678" t="s">
        <v>566</v>
      </c>
      <c r="C46" s="679" t="s">
        <v>894</v>
      </c>
      <c r="D46" s="616" t="s">
        <v>912</v>
      </c>
      <c r="E46" s="695" t="s">
        <v>112</v>
      </c>
      <c r="F46" s="600"/>
      <c r="G46" s="636">
        <v>1</v>
      </c>
      <c r="H46" s="630" t="str">
        <f t="shared" si="0"/>
        <v>Eksternal</v>
      </c>
      <c r="I46" s="639"/>
      <c r="J46" s="639"/>
      <c r="K46" s="639">
        <v>1</v>
      </c>
      <c r="L46" s="639"/>
      <c r="M46" s="631" t="str">
        <f t="shared" si="1"/>
        <v>O</v>
      </c>
      <c r="N46" s="341">
        <v>3</v>
      </c>
      <c r="O46" s="341">
        <v>2</v>
      </c>
    </row>
    <row r="47" spans="1:15" s="685" customFormat="1" x14ac:dyDescent="0.25">
      <c r="A47" s="686">
        <v>43</v>
      </c>
      <c r="B47" s="687" t="s">
        <v>855</v>
      </c>
      <c r="C47" s="688" t="s">
        <v>891</v>
      </c>
      <c r="D47" s="689" t="s">
        <v>892</v>
      </c>
      <c r="E47" s="690" t="s">
        <v>108</v>
      </c>
      <c r="F47" s="686"/>
      <c r="G47" s="691">
        <v>1</v>
      </c>
      <c r="H47" s="692" t="str">
        <f t="shared" si="0"/>
        <v>Eksternal</v>
      </c>
      <c r="I47" s="693"/>
      <c r="J47" s="693"/>
      <c r="K47" s="693">
        <v>1</v>
      </c>
      <c r="L47" s="693"/>
      <c r="M47" s="694" t="str">
        <f t="shared" si="1"/>
        <v>O</v>
      </c>
      <c r="N47" s="707">
        <v>3</v>
      </c>
      <c r="O47" s="707">
        <v>3</v>
      </c>
    </row>
    <row r="48" spans="1:15" ht="30" x14ac:dyDescent="0.25">
      <c r="A48" s="651">
        <v>44</v>
      </c>
      <c r="B48" s="681" t="s">
        <v>855</v>
      </c>
      <c r="C48" s="675" t="s">
        <v>588</v>
      </c>
      <c r="D48" s="661" t="s">
        <v>587</v>
      </c>
      <c r="E48" s="677" t="s">
        <v>108</v>
      </c>
      <c r="F48" s="651"/>
      <c r="G48" s="653">
        <v>1</v>
      </c>
      <c r="H48" s="654" t="str">
        <f t="shared" si="0"/>
        <v>Eksternal</v>
      </c>
      <c r="I48" s="655"/>
      <c r="J48" s="655"/>
      <c r="K48" s="655">
        <v>1</v>
      </c>
      <c r="L48" s="655"/>
      <c r="M48" s="656" t="str">
        <f t="shared" si="1"/>
        <v>O</v>
      </c>
      <c r="N48" s="341">
        <v>3</v>
      </c>
      <c r="O48" s="341">
        <v>3</v>
      </c>
    </row>
    <row r="49" spans="1:14" x14ac:dyDescent="0.25">
      <c r="A49" s="601"/>
      <c r="B49" s="610"/>
      <c r="C49" s="610"/>
      <c r="D49" s="622" t="s">
        <v>472</v>
      </c>
      <c r="E49" s="629"/>
      <c r="F49" s="290">
        <f>SUBTOTAL(9,F7:F48)</f>
        <v>29</v>
      </c>
      <c r="G49" s="623">
        <f>SUBTOTAL(9,G7:G48)</f>
        <v>13</v>
      </c>
      <c r="H49" s="623"/>
      <c r="I49" s="623">
        <f>SUBTOTAL(9,I7:I48)</f>
        <v>11</v>
      </c>
      <c r="J49" s="623">
        <f>SUBTOTAL(9,J7:J48)</f>
        <v>18</v>
      </c>
      <c r="K49" s="623">
        <f>SUBTOTAL(9,K7:K48)</f>
        <v>10</v>
      </c>
      <c r="L49" s="623">
        <f>SUBTOTAL(9,L7:L48)</f>
        <v>3</v>
      </c>
      <c r="M49" s="623"/>
      <c r="N49" s="341"/>
    </row>
    <row r="50" spans="1:14" x14ac:dyDescent="0.25">
      <c r="A50" s="263"/>
      <c r="B50" s="297"/>
      <c r="C50" s="297"/>
      <c r="D50" s="265"/>
      <c r="E50" s="9"/>
      <c r="F50" s="259"/>
      <c r="G50" s="293"/>
      <c r="H50" s="259"/>
      <c r="I50" s="259"/>
      <c r="J50" s="259"/>
      <c r="K50" s="259"/>
      <c r="L50" s="259"/>
      <c r="M50" s="259"/>
      <c r="N50" s="341"/>
    </row>
    <row r="51" spans="1:14" x14ac:dyDescent="0.25">
      <c r="A51" s="263"/>
      <c r="B51" s="297"/>
      <c r="C51" s="297"/>
      <c r="D51" s="265"/>
      <c r="E51" s="9"/>
      <c r="F51" s="259" t="s">
        <v>565</v>
      </c>
      <c r="G51" s="294">
        <f>G49+F49</f>
        <v>42</v>
      </c>
      <c r="H51" s="259"/>
      <c r="I51" s="259" t="s">
        <v>565</v>
      </c>
      <c r="J51" s="259">
        <f>SUM(I49:L49)</f>
        <v>42</v>
      </c>
      <c r="K51" s="259"/>
      <c r="L51" s="259"/>
      <c r="M51" s="259"/>
      <c r="N51" s="341"/>
    </row>
    <row r="52" spans="1:14" x14ac:dyDescent="0.25">
      <c r="A52" s="263"/>
      <c r="B52" s="297"/>
      <c r="C52" s="297"/>
      <c r="D52" s="265"/>
      <c r="E52" s="9"/>
      <c r="F52" s="259"/>
      <c r="G52" s="293"/>
      <c r="H52" s="259"/>
      <c r="I52" s="259"/>
      <c r="J52" s="259"/>
      <c r="K52" s="259"/>
      <c r="L52" s="259"/>
      <c r="M52" s="259"/>
      <c r="N52" s="341"/>
    </row>
    <row r="53" spans="1:14" x14ac:dyDescent="0.25">
      <c r="A53" s="263"/>
      <c r="B53" s="297"/>
      <c r="C53" s="297"/>
      <c r="D53" s="265"/>
      <c r="E53" s="9"/>
      <c r="F53" s="259"/>
      <c r="G53" s="293"/>
      <c r="H53" s="259"/>
      <c r="I53" s="259"/>
      <c r="J53" s="259"/>
      <c r="K53" s="259"/>
      <c r="L53" s="259"/>
      <c r="M53" s="259"/>
      <c r="N53" s="341"/>
    </row>
    <row r="54" spans="1:14" x14ac:dyDescent="0.25">
      <c r="A54" s="263"/>
      <c r="B54" s="297"/>
      <c r="C54" s="297"/>
      <c r="D54" s="265"/>
      <c r="E54" s="9"/>
      <c r="F54" s="259"/>
      <c r="G54" s="293"/>
      <c r="H54" s="259"/>
      <c r="I54" s="259"/>
      <c r="J54" s="259"/>
      <c r="K54" s="259"/>
      <c r="L54" s="259"/>
      <c r="M54" s="259"/>
      <c r="N54" s="341"/>
    </row>
    <row r="55" spans="1:14" x14ac:dyDescent="0.25">
      <c r="A55" s="263"/>
      <c r="B55" s="297"/>
      <c r="C55" s="297"/>
      <c r="D55" s="265"/>
      <c r="E55" s="9"/>
      <c r="F55" s="259"/>
      <c r="G55" s="293"/>
      <c r="H55" s="259"/>
      <c r="I55" s="259"/>
      <c r="J55" s="259"/>
      <c r="K55" s="259"/>
      <c r="L55" s="259"/>
      <c r="M55" s="259"/>
      <c r="N55" s="341"/>
    </row>
    <row r="56" spans="1:14" x14ac:dyDescent="0.25">
      <c r="B56" s="297"/>
      <c r="C56" s="297"/>
      <c r="D56" s="266"/>
    </row>
  </sheetData>
  <autoFilter ref="A6:O48" xr:uid="{00000000-0001-0000-0400-000000000000}"/>
  <sortState xmlns:xlrd2="http://schemas.microsoft.com/office/spreadsheetml/2017/richdata2" ref="B7:M12">
    <sortCondition ref="B7:B12"/>
  </sortState>
  <mergeCells count="2">
    <mergeCell ref="F5:H5"/>
    <mergeCell ref="I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5" x14ac:dyDescent="0.25"/>
  <cols>
    <col min="2" max="2" width="105.7109375" bestFit="1" customWidth="1"/>
    <col min="3" max="3" width="8.42578125" bestFit="1" customWidth="1"/>
    <col min="4" max="4" width="8.85546875" bestFit="1" customWidth="1"/>
    <col min="5" max="5" width="10.140625" bestFit="1" customWidth="1"/>
    <col min="6" max="6" width="8" bestFit="1" customWidth="1"/>
    <col min="7" max="7" width="8.85546875" bestFit="1" customWidth="1"/>
    <col min="8" max="8" width="8.42578125" bestFit="1" customWidth="1"/>
    <col min="9" max="9" width="8.140625" bestFit="1" customWidth="1"/>
  </cols>
  <sheetData>
    <row r="2" spans="2:9" x14ac:dyDescent="0.25">
      <c r="B2" s="205" t="s">
        <v>477</v>
      </c>
      <c r="C2" t="s">
        <v>9</v>
      </c>
    </row>
    <row r="4" spans="2:9" x14ac:dyDescent="0.25">
      <c r="D4" s="205" t="s">
        <v>553</v>
      </c>
    </row>
    <row r="5" spans="2:9" x14ac:dyDescent="0.25">
      <c r="B5" s="205" t="s">
        <v>98</v>
      </c>
      <c r="C5" s="205" t="s">
        <v>476</v>
      </c>
      <c r="D5" t="s">
        <v>552</v>
      </c>
      <c r="E5" t="s">
        <v>554</v>
      </c>
      <c r="F5" t="s">
        <v>561</v>
      </c>
      <c r="G5" t="s">
        <v>562</v>
      </c>
      <c r="H5" t="s">
        <v>563</v>
      </c>
      <c r="I5" t="s">
        <v>564</v>
      </c>
    </row>
    <row r="6" spans="2:9" x14ac:dyDescent="0.25">
      <c r="B6" t="s">
        <v>544</v>
      </c>
      <c r="C6" t="s">
        <v>180</v>
      </c>
      <c r="E6">
        <v>1</v>
      </c>
      <c r="H6">
        <v>1</v>
      </c>
    </row>
    <row r="7" spans="2:9" x14ac:dyDescent="0.25">
      <c r="B7" t="s">
        <v>555</v>
      </c>
      <c r="E7">
        <v>1</v>
      </c>
      <c r="H7">
        <v>1</v>
      </c>
    </row>
    <row r="8" spans="2:9" x14ac:dyDescent="0.25">
      <c r="B8" t="s">
        <v>549</v>
      </c>
      <c r="C8" t="s">
        <v>180</v>
      </c>
      <c r="E8">
        <v>1</v>
      </c>
      <c r="H8">
        <v>1</v>
      </c>
    </row>
    <row r="9" spans="2:9" x14ac:dyDescent="0.25">
      <c r="B9" t="s">
        <v>556</v>
      </c>
      <c r="E9">
        <v>1</v>
      </c>
      <c r="H9">
        <v>1</v>
      </c>
    </row>
    <row r="10" spans="2:9" x14ac:dyDescent="0.25">
      <c r="B10" t="s">
        <v>545</v>
      </c>
      <c r="C10" t="s">
        <v>180</v>
      </c>
      <c r="E10">
        <v>1</v>
      </c>
      <c r="H10">
        <v>1</v>
      </c>
    </row>
    <row r="11" spans="2:9" x14ac:dyDescent="0.25">
      <c r="B11" t="s">
        <v>557</v>
      </c>
      <c r="E11">
        <v>1</v>
      </c>
      <c r="H11">
        <v>1</v>
      </c>
    </row>
    <row r="12" spans="2:9" x14ac:dyDescent="0.25">
      <c r="B12" t="s">
        <v>543</v>
      </c>
      <c r="C12" t="s">
        <v>180</v>
      </c>
      <c r="E12">
        <v>1</v>
      </c>
      <c r="H12">
        <v>1</v>
      </c>
    </row>
    <row r="13" spans="2:9" x14ac:dyDescent="0.25">
      <c r="B13" t="s">
        <v>558</v>
      </c>
      <c r="E13">
        <v>1</v>
      </c>
      <c r="H13">
        <v>1</v>
      </c>
    </row>
    <row r="14" spans="2:9" x14ac:dyDescent="0.25">
      <c r="B14" t="s">
        <v>546</v>
      </c>
      <c r="C14" t="s">
        <v>180</v>
      </c>
      <c r="E14">
        <v>1</v>
      </c>
      <c r="H14">
        <v>1</v>
      </c>
    </row>
    <row r="15" spans="2:9" x14ac:dyDescent="0.25">
      <c r="B15" t="s">
        <v>559</v>
      </c>
      <c r="E15">
        <v>1</v>
      </c>
      <c r="H15">
        <v>1</v>
      </c>
    </row>
    <row r="16" spans="2:9" x14ac:dyDescent="0.25">
      <c r="B16" t="s">
        <v>68</v>
      </c>
      <c r="C16" t="s">
        <v>180</v>
      </c>
      <c r="E16">
        <v>1</v>
      </c>
      <c r="H16">
        <v>1</v>
      </c>
    </row>
    <row r="17" spans="2:8" x14ac:dyDescent="0.25">
      <c r="B17" t="s">
        <v>560</v>
      </c>
      <c r="E17">
        <v>1</v>
      </c>
      <c r="H17">
        <v>1</v>
      </c>
    </row>
    <row r="18" spans="2:8" x14ac:dyDescent="0.25">
      <c r="B18" t="s">
        <v>475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3"/>
  <sheetViews>
    <sheetView showGridLines="0" topLeftCell="A18" zoomScaleNormal="100" workbookViewId="0">
      <selection activeCell="C34" sqref="C34"/>
    </sheetView>
  </sheetViews>
  <sheetFormatPr defaultColWidth="9.140625" defaultRowHeight="15" x14ac:dyDescent="0.25"/>
  <cols>
    <col min="1" max="1" width="9" style="193" bestFit="1" customWidth="1"/>
    <col min="2" max="2" width="23.7109375" style="192" bestFit="1" customWidth="1"/>
    <col min="3" max="3" width="76.140625" style="192" bestFit="1" customWidth="1"/>
    <col min="4" max="4" width="12.85546875" style="192" bestFit="1" customWidth="1"/>
    <col min="5" max="5" width="13.28515625" style="192" bestFit="1" customWidth="1"/>
    <col min="6" max="7" width="10.7109375" style="194" customWidth="1"/>
    <col min="8" max="16384" width="9.140625" style="192"/>
  </cols>
  <sheetData>
    <row r="1" spans="1:7" ht="23.25" x14ac:dyDescent="0.35">
      <c r="A1" s="774" t="s">
        <v>438</v>
      </c>
      <c r="B1" s="774"/>
      <c r="C1" s="774"/>
      <c r="D1" s="774"/>
      <c r="E1" s="774"/>
      <c r="F1" s="774"/>
      <c r="G1" s="774"/>
    </row>
    <row r="2" spans="1:7" x14ac:dyDescent="0.25">
      <c r="A2" s="344"/>
      <c r="B2" s="345"/>
      <c r="C2" s="346"/>
      <c r="D2" s="346"/>
      <c r="E2" s="346"/>
      <c r="F2" s="347"/>
      <c r="G2" s="347"/>
    </row>
    <row r="3" spans="1:7" x14ac:dyDescent="0.25">
      <c r="B3" s="702" t="s">
        <v>477</v>
      </c>
      <c r="C3" s="703" t="s">
        <v>7</v>
      </c>
      <c r="D3"/>
      <c r="E3"/>
    </row>
    <row r="4" spans="1:7" x14ac:dyDescent="0.25">
      <c r="B4" s="193"/>
    </row>
    <row r="5" spans="1:7" x14ac:dyDescent="0.25">
      <c r="A5" s="210" t="s">
        <v>14</v>
      </c>
      <c r="B5" s="355" t="s">
        <v>4</v>
      </c>
      <c r="C5" s="355" t="s">
        <v>98</v>
      </c>
      <c r="D5" s="708" t="s">
        <v>913</v>
      </c>
      <c r="E5" s="711" t="s">
        <v>914</v>
      </c>
      <c r="F5" s="714"/>
      <c r="G5" s="714"/>
    </row>
    <row r="6" spans="1:7" x14ac:dyDescent="0.25">
      <c r="A6" s="351">
        <v>1</v>
      </c>
      <c r="B6" s="356" t="s">
        <v>610</v>
      </c>
      <c r="C6" t="s">
        <v>577</v>
      </c>
      <c r="D6" s="708">
        <v>4</v>
      </c>
      <c r="E6" s="711">
        <v>4</v>
      </c>
      <c r="F6" s="715"/>
      <c r="G6" s="715"/>
    </row>
    <row r="7" spans="1:7" ht="45" x14ac:dyDescent="0.25">
      <c r="A7" s="351">
        <v>2</v>
      </c>
      <c r="B7" s="704" t="s">
        <v>110</v>
      </c>
      <c r="C7" s="709" t="s">
        <v>619</v>
      </c>
      <c r="D7" s="708">
        <v>4</v>
      </c>
      <c r="E7" s="711">
        <v>4</v>
      </c>
      <c r="F7" s="715"/>
      <c r="G7" s="715"/>
    </row>
    <row r="8" spans="1:7" x14ac:dyDescent="0.25">
      <c r="A8" s="351">
        <v>3</v>
      </c>
      <c r="B8" s="704" t="s">
        <v>110</v>
      </c>
      <c r="C8" s="708" t="s">
        <v>889</v>
      </c>
      <c r="D8" s="708">
        <v>4</v>
      </c>
      <c r="E8" s="711">
        <v>4</v>
      </c>
      <c r="F8" s="715"/>
      <c r="G8" s="715"/>
    </row>
    <row r="9" spans="1:7" x14ac:dyDescent="0.25">
      <c r="A9" s="351">
        <v>4</v>
      </c>
      <c r="B9" s="356" t="s">
        <v>108</v>
      </c>
      <c r="C9" s="708" t="s">
        <v>623</v>
      </c>
      <c r="D9" s="708">
        <v>4</v>
      </c>
      <c r="E9" s="711">
        <v>4</v>
      </c>
      <c r="F9" s="715"/>
      <c r="G9" s="715"/>
    </row>
    <row r="10" spans="1:7" x14ac:dyDescent="0.25">
      <c r="A10" s="351">
        <v>5</v>
      </c>
      <c r="B10" s="356" t="s">
        <v>108</v>
      </c>
      <c r="C10" s="708" t="s">
        <v>896</v>
      </c>
      <c r="D10" s="708">
        <v>4</v>
      </c>
      <c r="E10" s="711">
        <v>4</v>
      </c>
      <c r="F10" s="715"/>
      <c r="G10" s="715"/>
    </row>
    <row r="11" spans="1:7" x14ac:dyDescent="0.25">
      <c r="A11" s="351">
        <v>6</v>
      </c>
      <c r="B11" s="356" t="s">
        <v>108</v>
      </c>
      <c r="C11" s="708" t="s">
        <v>898</v>
      </c>
      <c r="D11" s="708">
        <v>4</v>
      </c>
      <c r="E11" s="711">
        <v>3</v>
      </c>
      <c r="F11" s="715"/>
      <c r="G11" s="715"/>
    </row>
    <row r="12" spans="1:7" x14ac:dyDescent="0.25">
      <c r="A12" s="351">
        <v>7</v>
      </c>
      <c r="B12" s="356" t="s">
        <v>108</v>
      </c>
      <c r="C12" s="708" t="s">
        <v>876</v>
      </c>
      <c r="D12" s="708">
        <v>4</v>
      </c>
      <c r="E12" s="711">
        <v>3</v>
      </c>
      <c r="F12" s="715"/>
      <c r="G12" s="715"/>
    </row>
    <row r="13" spans="1:7" x14ac:dyDescent="0.25">
      <c r="A13" s="351">
        <v>8</v>
      </c>
      <c r="B13" s="356" t="s">
        <v>101</v>
      </c>
      <c r="C13" s="708" t="s">
        <v>868</v>
      </c>
      <c r="D13" s="708">
        <v>4</v>
      </c>
      <c r="E13" s="711">
        <v>3</v>
      </c>
      <c r="F13" s="715"/>
      <c r="G13" s="715"/>
    </row>
    <row r="14" spans="1:7" x14ac:dyDescent="0.25">
      <c r="A14" s="351">
        <v>9</v>
      </c>
      <c r="B14" s="356" t="s">
        <v>101</v>
      </c>
      <c r="C14" s="708" t="s">
        <v>902</v>
      </c>
      <c r="D14" s="708">
        <v>3</v>
      </c>
      <c r="E14" s="711">
        <v>4</v>
      </c>
      <c r="F14" s="715"/>
      <c r="G14" s="715"/>
    </row>
    <row r="15" spans="1:7" x14ac:dyDescent="0.25">
      <c r="A15" s="351">
        <v>10</v>
      </c>
      <c r="B15" s="356" t="s">
        <v>99</v>
      </c>
      <c r="C15" s="708" t="s">
        <v>616</v>
      </c>
      <c r="D15" s="708">
        <v>4</v>
      </c>
      <c r="E15" s="711">
        <v>3</v>
      </c>
      <c r="F15" s="715"/>
      <c r="G15" s="715"/>
    </row>
    <row r="16" spans="1:7" x14ac:dyDescent="0.25">
      <c r="A16" s="351">
        <v>11</v>
      </c>
      <c r="B16" s="356" t="s">
        <v>99</v>
      </c>
      <c r="C16" t="s">
        <v>617</v>
      </c>
      <c r="D16" s="708">
        <v>3</v>
      </c>
      <c r="E16" s="711">
        <v>3</v>
      </c>
      <c r="F16" s="715"/>
      <c r="G16" s="715"/>
    </row>
    <row r="17" spans="1:7" x14ac:dyDescent="0.25">
      <c r="A17" s="351">
        <v>12</v>
      </c>
      <c r="B17" s="348" t="s">
        <v>475</v>
      </c>
      <c r="C17" s="354"/>
      <c r="D17" s="712">
        <v>42</v>
      </c>
      <c r="E17" s="713">
        <v>39</v>
      </c>
      <c r="F17" s="347"/>
      <c r="G17" s="347"/>
    </row>
    <row r="18" spans="1:7" x14ac:dyDescent="0.25">
      <c r="B18"/>
      <c r="C18"/>
      <c r="D18"/>
      <c r="E18"/>
    </row>
    <row r="19" spans="1:7" x14ac:dyDescent="0.25">
      <c r="B19"/>
      <c r="C19"/>
      <c r="D19"/>
      <c r="E19"/>
    </row>
    <row r="20" spans="1:7" s="193" customFormat="1" x14ac:dyDescent="0.25">
      <c r="A20" s="720" t="str">
        <f t="shared" ref="A20:E31" si="0">A5</f>
        <v>NO</v>
      </c>
      <c r="B20" s="730" t="str">
        <f t="shared" si="0"/>
        <v>TINJAUAN (FAKTOR)</v>
      </c>
      <c r="C20" s="730" t="str">
        <f t="shared" si="0"/>
        <v>ISU</v>
      </c>
      <c r="D20" s="730" t="s">
        <v>439</v>
      </c>
      <c r="E20" s="731" t="s">
        <v>441</v>
      </c>
      <c r="F20" s="732" t="s">
        <v>440</v>
      </c>
      <c r="G20" s="732" t="s">
        <v>442</v>
      </c>
    </row>
    <row r="21" spans="1:7" x14ac:dyDescent="0.25">
      <c r="A21" s="351">
        <f t="shared" si="0"/>
        <v>1</v>
      </c>
      <c r="B21" s="356" t="str">
        <f t="shared" si="0"/>
        <v>Kaizen</v>
      </c>
      <c r="C21" s="356" t="str">
        <f t="shared" si="0"/>
        <v>Budaya Kaizen konsisten diimplementasikan di lingkungan Chitose</v>
      </c>
      <c r="D21" s="356">
        <f t="shared" si="0"/>
        <v>4</v>
      </c>
      <c r="E21" s="176">
        <f t="shared" si="0"/>
        <v>4</v>
      </c>
      <c r="F21" s="718">
        <f>D21/$D$32</f>
        <v>9.5238095238095233E-2</v>
      </c>
      <c r="G21" s="719">
        <f>F21*E21</f>
        <v>0.38095238095238093</v>
      </c>
    </row>
    <row r="22" spans="1:7" x14ac:dyDescent="0.25">
      <c r="A22" s="351">
        <f t="shared" si="0"/>
        <v>2</v>
      </c>
      <c r="B22" s="356" t="str">
        <f t="shared" si="0"/>
        <v>Penjualan</v>
      </c>
      <c r="C22" s="356" t="str">
        <f t="shared" si="0"/>
        <v>Terbukanya pasar baru untuk alat kesehatan manusia di pasar swasta, alkes hewan, penjualan furnitur dengan interior design, serta perluasan pasar ke Middle East yang menerapkan Eco-Friendly.</v>
      </c>
      <c r="D22" s="356">
        <f t="shared" si="0"/>
        <v>4</v>
      </c>
      <c r="E22" s="176">
        <f t="shared" si="0"/>
        <v>4</v>
      </c>
      <c r="F22" s="718">
        <f t="shared" ref="F22:F31" si="1">D22/$D$32</f>
        <v>9.5238095238095233E-2</v>
      </c>
      <c r="G22" s="719">
        <f t="shared" ref="G22:G31" si="2">F22*E22</f>
        <v>0.38095238095238093</v>
      </c>
    </row>
    <row r="23" spans="1:7" x14ac:dyDescent="0.25">
      <c r="A23" s="351">
        <f t="shared" si="0"/>
        <v>3</v>
      </c>
      <c r="B23" s="356" t="str">
        <f t="shared" si="0"/>
        <v>Penjualan</v>
      </c>
      <c r="C23" s="356" t="str">
        <f t="shared" si="0"/>
        <v>Tersedianya material import yang lebih kompetitif</v>
      </c>
      <c r="D23" s="356">
        <f t="shared" si="0"/>
        <v>4</v>
      </c>
      <c r="E23" s="176">
        <f t="shared" si="0"/>
        <v>4</v>
      </c>
      <c r="F23" s="718">
        <f t="shared" si="1"/>
        <v>9.5238095238095233E-2</v>
      </c>
      <c r="G23" s="719">
        <f t="shared" si="2"/>
        <v>0.38095238095238093</v>
      </c>
    </row>
    <row r="24" spans="1:7" x14ac:dyDescent="0.25">
      <c r="A24" s="351">
        <f t="shared" si="0"/>
        <v>4</v>
      </c>
      <c r="B24" s="356" t="str">
        <f t="shared" si="0"/>
        <v>Proses</v>
      </c>
      <c r="C24" s="356" t="str">
        <f t="shared" si="0"/>
        <v>Ketepatan realisasi produksi terhadap APS 100%</v>
      </c>
      <c r="D24" s="356">
        <f t="shared" si="0"/>
        <v>4</v>
      </c>
      <c r="E24" s="176">
        <f t="shared" si="0"/>
        <v>4</v>
      </c>
      <c r="F24" s="718">
        <f t="shared" si="1"/>
        <v>9.5238095238095233E-2</v>
      </c>
      <c r="G24" s="719">
        <f t="shared" si="2"/>
        <v>0.38095238095238093</v>
      </c>
    </row>
    <row r="25" spans="1:7" x14ac:dyDescent="0.25">
      <c r="A25" s="351">
        <f t="shared" si="0"/>
        <v>5</v>
      </c>
      <c r="B25" s="356" t="str">
        <f t="shared" si="0"/>
        <v>Proses</v>
      </c>
      <c r="C25" s="356" t="str">
        <f t="shared" si="0"/>
        <v>Raw material unmoving tinggi</v>
      </c>
      <c r="D25" s="356">
        <f t="shared" si="0"/>
        <v>4</v>
      </c>
      <c r="E25" s="176">
        <f t="shared" si="0"/>
        <v>4</v>
      </c>
      <c r="F25" s="718">
        <f t="shared" si="1"/>
        <v>9.5238095238095233E-2</v>
      </c>
      <c r="G25" s="719">
        <f t="shared" si="2"/>
        <v>0.38095238095238093</v>
      </c>
    </row>
    <row r="26" spans="1:7" x14ac:dyDescent="0.25">
      <c r="A26" s="351">
        <f t="shared" si="0"/>
        <v>6</v>
      </c>
      <c r="B26" s="356" t="str">
        <f t="shared" si="0"/>
        <v>Proses</v>
      </c>
      <c r="C26" s="356" t="str">
        <f t="shared" si="0"/>
        <v xml:space="preserve">Pengembangan produk jadi dari fix menjadi knockdown </v>
      </c>
      <c r="D26" s="356">
        <f t="shared" si="0"/>
        <v>4</v>
      </c>
      <c r="E26" s="176">
        <f t="shared" si="0"/>
        <v>3</v>
      </c>
      <c r="F26" s="718">
        <f t="shared" si="1"/>
        <v>9.5238095238095233E-2</v>
      </c>
      <c r="G26" s="719">
        <f t="shared" si="2"/>
        <v>0.2857142857142857</v>
      </c>
    </row>
    <row r="27" spans="1:7" x14ac:dyDescent="0.25">
      <c r="A27" s="351">
        <f t="shared" si="0"/>
        <v>7</v>
      </c>
      <c r="B27" s="356" t="str">
        <f t="shared" si="0"/>
        <v>Proses</v>
      </c>
      <c r="C27" s="356" t="str">
        <f t="shared" si="0"/>
        <v>Implementasi Direct Holding Integrated System (DHIS)</v>
      </c>
      <c r="D27" s="356">
        <f t="shared" si="0"/>
        <v>4</v>
      </c>
      <c r="E27" s="176">
        <f t="shared" si="0"/>
        <v>3</v>
      </c>
      <c r="F27" s="718">
        <f t="shared" si="1"/>
        <v>9.5238095238095233E-2</v>
      </c>
      <c r="G27" s="719">
        <f t="shared" si="2"/>
        <v>0.2857142857142857</v>
      </c>
    </row>
    <row r="28" spans="1:7" x14ac:dyDescent="0.25">
      <c r="A28" s="351">
        <f t="shared" si="0"/>
        <v>8</v>
      </c>
      <c r="B28" s="356" t="str">
        <f t="shared" si="0"/>
        <v>Regulasi</v>
      </c>
      <c r="C28" s="356" t="str">
        <f t="shared" si="0"/>
        <v>Sistem manajemen terintegrasi dan program digitalisasi telah dijalankan</v>
      </c>
      <c r="D28" s="356">
        <f t="shared" si="0"/>
        <v>4</v>
      </c>
      <c r="E28" s="176">
        <f t="shared" si="0"/>
        <v>3</v>
      </c>
      <c r="F28" s="718">
        <f t="shared" si="1"/>
        <v>9.5238095238095233E-2</v>
      </c>
      <c r="G28" s="719">
        <f t="shared" si="2"/>
        <v>0.2857142857142857</v>
      </c>
    </row>
    <row r="29" spans="1:7" x14ac:dyDescent="0.25">
      <c r="A29" s="351">
        <f t="shared" si="0"/>
        <v>9</v>
      </c>
      <c r="B29" s="356" t="str">
        <f t="shared" si="0"/>
        <v>Regulasi</v>
      </c>
      <c r="C29" s="356" t="str">
        <f t="shared" si="0"/>
        <v>Tidak ada komplain dan sanksi</v>
      </c>
      <c r="D29" s="356">
        <f t="shared" si="0"/>
        <v>3</v>
      </c>
      <c r="E29" s="176">
        <f t="shared" si="0"/>
        <v>4</v>
      </c>
      <c r="F29" s="718">
        <f t="shared" si="1"/>
        <v>7.1428571428571425E-2</v>
      </c>
      <c r="G29" s="719">
        <f t="shared" si="2"/>
        <v>0.2857142857142857</v>
      </c>
    </row>
    <row r="30" spans="1:7" x14ac:dyDescent="0.25">
      <c r="A30" s="351">
        <f t="shared" si="0"/>
        <v>10</v>
      </c>
      <c r="B30" s="356" t="str">
        <f t="shared" si="0"/>
        <v>Teknologi</v>
      </c>
      <c r="C30" s="356" t="str">
        <f t="shared" si="0"/>
        <v>Investasi sarana &amp; prasarana digunakan secara maksimal</v>
      </c>
      <c r="D30" s="356">
        <f t="shared" si="0"/>
        <v>4</v>
      </c>
      <c r="E30" s="176">
        <f t="shared" si="0"/>
        <v>3</v>
      </c>
      <c r="F30" s="718">
        <f t="shared" si="1"/>
        <v>9.5238095238095233E-2</v>
      </c>
      <c r="G30" s="719">
        <f t="shared" si="2"/>
        <v>0.2857142857142857</v>
      </c>
    </row>
    <row r="31" spans="1:7" x14ac:dyDescent="0.25">
      <c r="A31" s="351">
        <f t="shared" si="0"/>
        <v>11</v>
      </c>
      <c r="B31" s="356" t="str">
        <f t="shared" si="0"/>
        <v>Teknologi</v>
      </c>
      <c r="C31" s="356" t="str">
        <f t="shared" si="0"/>
        <v>Strategi pemasaran digital menggunakan Search Engine Optimization (SEO)</v>
      </c>
      <c r="D31" s="356">
        <f t="shared" si="0"/>
        <v>3</v>
      </c>
      <c r="E31" s="176">
        <f t="shared" si="0"/>
        <v>3</v>
      </c>
      <c r="F31" s="718">
        <f t="shared" si="1"/>
        <v>7.1428571428571425E-2</v>
      </c>
      <c r="G31" s="719">
        <f t="shared" si="2"/>
        <v>0.21428571428571427</v>
      </c>
    </row>
    <row r="32" spans="1:7" x14ac:dyDescent="0.25">
      <c r="A32" s="721"/>
      <c r="B32" s="722" t="str">
        <f t="shared" ref="B32:E32" si="3">B17</f>
        <v>Grand Total</v>
      </c>
      <c r="C32" s="722">
        <f t="shared" si="3"/>
        <v>0</v>
      </c>
      <c r="D32" s="722">
        <f t="shared" si="3"/>
        <v>42</v>
      </c>
      <c r="E32" s="722">
        <f t="shared" si="3"/>
        <v>39</v>
      </c>
      <c r="F32" s="734">
        <f>SUM(F21:F31)</f>
        <v>0.99999999999999989</v>
      </c>
      <c r="G32" s="734">
        <f>SUM(G21:G31)</f>
        <v>3.547619047619047</v>
      </c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</row>
    <row r="40" spans="1:5" x14ac:dyDescent="0.25">
      <c r="A40"/>
    </row>
    <row r="41" spans="1:5" x14ac:dyDescent="0.25">
      <c r="A41"/>
    </row>
    <row r="42" spans="1:5" x14ac:dyDescent="0.25">
      <c r="A42"/>
    </row>
    <row r="43" spans="1:5" x14ac:dyDescent="0.25">
      <c r="A43"/>
    </row>
    <row r="44" spans="1:5" x14ac:dyDescent="0.25">
      <c r="A44"/>
    </row>
    <row r="45" spans="1:5" x14ac:dyDescent="0.25">
      <c r="A45"/>
    </row>
    <row r="46" spans="1:5" x14ac:dyDescent="0.25">
      <c r="A46"/>
    </row>
    <row r="47" spans="1:5" x14ac:dyDescent="0.25">
      <c r="A47"/>
    </row>
    <row r="48" spans="1:5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showGridLines="0" zoomScale="90" zoomScaleNormal="90" workbookViewId="0">
      <selection activeCell="A4" sqref="A4:XFD25"/>
    </sheetView>
  </sheetViews>
  <sheetFormatPr defaultColWidth="9.140625" defaultRowHeight="15" x14ac:dyDescent="0.25"/>
  <cols>
    <col min="1" max="1" width="5.7109375" style="193" customWidth="1"/>
    <col min="2" max="2" width="25.28515625" style="192" customWidth="1"/>
    <col min="3" max="3" width="102.140625" style="192" bestFit="1" customWidth="1"/>
    <col min="4" max="4" width="13.85546875" style="192" bestFit="1" customWidth="1"/>
    <col min="5" max="5" width="14.42578125" style="192" bestFit="1" customWidth="1"/>
    <col min="6" max="16384" width="9.140625" style="192"/>
  </cols>
  <sheetData>
    <row r="1" spans="1:5" ht="23.25" x14ac:dyDescent="0.35">
      <c r="A1" s="774" t="s">
        <v>478</v>
      </c>
      <c r="B1" s="774"/>
      <c r="C1" s="774"/>
    </row>
    <row r="2" spans="1:5" s="350" customFormat="1" ht="15.75" x14ac:dyDescent="0.25">
      <c r="A2" s="349"/>
      <c r="B2" s="349"/>
      <c r="C2" s="349"/>
    </row>
    <row r="4" spans="1:5" hidden="1" x14ac:dyDescent="0.25">
      <c r="B4" s="702" t="s">
        <v>477</v>
      </c>
      <c r="C4" s="703" t="s">
        <v>8</v>
      </c>
    </row>
    <row r="5" spans="1:5" hidden="1" x14ac:dyDescent="0.25">
      <c r="B5" s="193"/>
    </row>
    <row r="6" spans="1:5" hidden="1" x14ac:dyDescent="0.25">
      <c r="A6" s="727" t="s">
        <v>14</v>
      </c>
      <c r="B6" s="355" t="s">
        <v>4</v>
      </c>
      <c r="C6" s="355" t="s">
        <v>98</v>
      </c>
      <c r="D6" s="708" t="s">
        <v>915</v>
      </c>
      <c r="E6" s="711" t="s">
        <v>916</v>
      </c>
    </row>
    <row r="7" spans="1:5" hidden="1" x14ac:dyDescent="0.25">
      <c r="A7" s="193">
        <v>1</v>
      </c>
      <c r="B7" s="228" t="s">
        <v>117</v>
      </c>
      <c r="C7" s="723" t="s">
        <v>613</v>
      </c>
      <c r="D7" s="708">
        <v>3</v>
      </c>
      <c r="E7" s="711">
        <v>-3</v>
      </c>
    </row>
    <row r="8" spans="1:5" hidden="1" x14ac:dyDescent="0.25">
      <c r="A8" s="193">
        <v>2</v>
      </c>
      <c r="B8" s="704" t="s">
        <v>117</v>
      </c>
      <c r="C8" s="724" t="s">
        <v>580</v>
      </c>
      <c r="D8" s="708">
        <v>4</v>
      </c>
      <c r="E8" s="711">
        <v>-4</v>
      </c>
    </row>
    <row r="9" spans="1:5" hidden="1" x14ac:dyDescent="0.25">
      <c r="A9" s="193">
        <v>3</v>
      </c>
      <c r="B9" s="704" t="s">
        <v>188</v>
      </c>
      <c r="C9" s="708" t="s">
        <v>877</v>
      </c>
      <c r="D9" s="708">
        <v>4</v>
      </c>
      <c r="E9" s="711">
        <v>-4</v>
      </c>
    </row>
    <row r="10" spans="1:5" hidden="1" x14ac:dyDescent="0.25">
      <c r="A10" s="193">
        <v>4</v>
      </c>
      <c r="B10" t="s">
        <v>104</v>
      </c>
      <c r="C10" s="710" t="s">
        <v>612</v>
      </c>
      <c r="D10" s="708">
        <v>4</v>
      </c>
      <c r="E10" s="711">
        <v>-3</v>
      </c>
    </row>
    <row r="11" spans="1:5" hidden="1" x14ac:dyDescent="0.25">
      <c r="A11" s="193">
        <v>5</v>
      </c>
      <c r="B11" t="s">
        <v>104</v>
      </c>
      <c r="C11" s="708" t="s">
        <v>900</v>
      </c>
      <c r="D11" s="708">
        <v>4</v>
      </c>
      <c r="E11" s="711">
        <v>3</v>
      </c>
    </row>
    <row r="12" spans="1:5" hidden="1" x14ac:dyDescent="0.25">
      <c r="A12" s="193">
        <v>6</v>
      </c>
      <c r="B12" t="s">
        <v>108</v>
      </c>
      <c r="C12" s="723" t="s">
        <v>583</v>
      </c>
      <c r="D12" s="708">
        <v>4</v>
      </c>
      <c r="E12" s="711">
        <v>-3</v>
      </c>
    </row>
    <row r="13" spans="1:5" hidden="1" x14ac:dyDescent="0.25">
      <c r="A13" s="193">
        <v>7</v>
      </c>
      <c r="B13" t="s">
        <v>108</v>
      </c>
      <c r="C13" s="724" t="s">
        <v>589</v>
      </c>
      <c r="D13" s="708">
        <v>3</v>
      </c>
      <c r="E13" s="711">
        <v>-3</v>
      </c>
    </row>
    <row r="14" spans="1:5" hidden="1" x14ac:dyDescent="0.25">
      <c r="A14" s="193">
        <v>8</v>
      </c>
      <c r="B14" t="s">
        <v>108</v>
      </c>
      <c r="C14" s="708" t="s">
        <v>859</v>
      </c>
      <c r="D14" s="708">
        <v>3</v>
      </c>
      <c r="E14" s="711">
        <v>-3</v>
      </c>
    </row>
    <row r="15" spans="1:5" hidden="1" x14ac:dyDescent="0.25">
      <c r="A15" s="193">
        <v>9</v>
      </c>
      <c r="B15" t="s">
        <v>108</v>
      </c>
      <c r="C15" s="708" t="s">
        <v>860</v>
      </c>
      <c r="D15" s="708">
        <v>4</v>
      </c>
      <c r="E15" s="711">
        <v>-4</v>
      </c>
    </row>
    <row r="16" spans="1:5" hidden="1" x14ac:dyDescent="0.25">
      <c r="A16" s="193">
        <v>10</v>
      </c>
      <c r="B16" t="s">
        <v>108</v>
      </c>
      <c r="C16" s="708" t="s">
        <v>866</v>
      </c>
      <c r="D16" s="708">
        <v>3</v>
      </c>
      <c r="E16" s="711">
        <v>-2</v>
      </c>
    </row>
    <row r="17" spans="1:7" hidden="1" x14ac:dyDescent="0.25">
      <c r="A17" s="193">
        <v>11</v>
      </c>
      <c r="B17" t="s">
        <v>108</v>
      </c>
      <c r="C17" s="708" t="s">
        <v>870</v>
      </c>
      <c r="D17" s="708">
        <v>4</v>
      </c>
      <c r="E17" s="711">
        <v>-3</v>
      </c>
    </row>
    <row r="18" spans="1:7" hidden="1" x14ac:dyDescent="0.25">
      <c r="A18" s="193">
        <v>12</v>
      </c>
      <c r="B18" t="s">
        <v>108</v>
      </c>
      <c r="C18" s="708" t="s">
        <v>879</v>
      </c>
      <c r="D18" s="708">
        <v>4</v>
      </c>
      <c r="E18" s="711">
        <v>-3</v>
      </c>
    </row>
    <row r="19" spans="1:7" hidden="1" x14ac:dyDescent="0.25">
      <c r="A19" s="193">
        <v>13</v>
      </c>
      <c r="B19" t="s">
        <v>108</v>
      </c>
      <c r="C19" s="708" t="s">
        <v>881</v>
      </c>
      <c r="D19" s="708">
        <v>4</v>
      </c>
      <c r="E19" s="711">
        <v>-4</v>
      </c>
    </row>
    <row r="20" spans="1:7" hidden="1" x14ac:dyDescent="0.25">
      <c r="A20" s="193">
        <v>14</v>
      </c>
      <c r="B20" t="s">
        <v>101</v>
      </c>
      <c r="C20" s="708" t="s">
        <v>884</v>
      </c>
      <c r="D20" s="708">
        <v>3</v>
      </c>
      <c r="E20" s="711">
        <v>-4</v>
      </c>
    </row>
    <row r="21" spans="1:7" hidden="1" x14ac:dyDescent="0.25">
      <c r="A21" s="193">
        <v>15</v>
      </c>
      <c r="B21" s="228" t="s">
        <v>574</v>
      </c>
      <c r="C21" s="708" t="s">
        <v>907</v>
      </c>
      <c r="D21" s="708">
        <v>2</v>
      </c>
      <c r="E21" s="711">
        <v>-2</v>
      </c>
    </row>
    <row r="22" spans="1:7" hidden="1" x14ac:dyDescent="0.25">
      <c r="A22" s="193">
        <v>16</v>
      </c>
      <c r="B22" s="704" t="s">
        <v>574</v>
      </c>
      <c r="C22" s="708" t="s">
        <v>857</v>
      </c>
      <c r="D22" s="708">
        <v>3</v>
      </c>
      <c r="E22" s="711">
        <v>-3</v>
      </c>
    </row>
    <row r="23" spans="1:7" hidden="1" x14ac:dyDescent="0.25">
      <c r="A23" s="193">
        <v>17</v>
      </c>
      <c r="B23" s="705" t="s">
        <v>574</v>
      </c>
      <c r="C23" s="708" t="s">
        <v>910</v>
      </c>
      <c r="D23" s="708">
        <v>3</v>
      </c>
      <c r="E23" s="711">
        <v>-4</v>
      </c>
    </row>
    <row r="24" spans="1:7" hidden="1" x14ac:dyDescent="0.25">
      <c r="A24" s="193">
        <v>18</v>
      </c>
      <c r="B24" t="s">
        <v>99</v>
      </c>
      <c r="C24" s="708" t="s">
        <v>872</v>
      </c>
      <c r="D24" s="708">
        <v>4</v>
      </c>
      <c r="E24" s="711">
        <v>-4</v>
      </c>
    </row>
    <row r="25" spans="1:7" hidden="1" x14ac:dyDescent="0.25">
      <c r="B25" s="348" t="s">
        <v>475</v>
      </c>
      <c r="C25" s="348"/>
      <c r="D25" s="712">
        <v>63</v>
      </c>
      <c r="E25" s="713">
        <v>-53</v>
      </c>
    </row>
    <row r="27" spans="1:7" x14ac:dyDescent="0.25">
      <c r="A27" s="717" t="s">
        <v>14</v>
      </c>
      <c r="B27" s="726" t="s">
        <v>4</v>
      </c>
      <c r="C27" s="726" t="s">
        <v>98</v>
      </c>
      <c r="D27" s="726" t="s">
        <v>439</v>
      </c>
      <c r="E27" s="726" t="s">
        <v>441</v>
      </c>
      <c r="F27" s="726" t="s">
        <v>440</v>
      </c>
      <c r="G27" s="726" t="s">
        <v>442</v>
      </c>
    </row>
    <row r="28" spans="1:7" x14ac:dyDescent="0.25">
      <c r="A28" s="193">
        <v>1</v>
      </c>
      <c r="B28" s="192" t="str">
        <f t="shared" ref="B28:E43" si="0">B7</f>
        <v>K3</v>
      </c>
      <c r="C28" s="192" t="str">
        <f t="shared" si="0"/>
        <v>Belum disiplin dalam penggunaan APD</v>
      </c>
      <c r="D28" s="192">
        <f t="shared" si="0"/>
        <v>3</v>
      </c>
      <c r="E28" s="192">
        <f t="shared" si="0"/>
        <v>-3</v>
      </c>
      <c r="F28" s="728">
        <f>D28/$D$46</f>
        <v>4.7619047619047616E-2</v>
      </c>
      <c r="G28" s="728">
        <f>F28*E28</f>
        <v>-0.14285714285714285</v>
      </c>
    </row>
    <row r="29" spans="1:7" x14ac:dyDescent="0.25">
      <c r="A29" s="193">
        <v>2</v>
      </c>
      <c r="B29" s="192" t="str">
        <f t="shared" si="0"/>
        <v>K3</v>
      </c>
      <c r="C29" s="192" t="str">
        <f t="shared" si="0"/>
        <v>Terjadi kecelakaan kerja 6 kali di tahun 2024</v>
      </c>
      <c r="D29" s="192">
        <f t="shared" si="0"/>
        <v>4</v>
      </c>
      <c r="E29" s="192">
        <f t="shared" si="0"/>
        <v>-4</v>
      </c>
      <c r="F29" s="728">
        <f t="shared" ref="F29:F45" si="1">D29/$D$46</f>
        <v>6.3492063492063489E-2</v>
      </c>
      <c r="G29" s="728">
        <f t="shared" ref="G29:G45" si="2">F29*E29</f>
        <v>-0.25396825396825395</v>
      </c>
    </row>
    <row r="30" spans="1:7" x14ac:dyDescent="0.25">
      <c r="A30" s="193">
        <v>3</v>
      </c>
      <c r="B30" s="192" t="str">
        <f t="shared" si="0"/>
        <v>Kinerja Keuangan</v>
      </c>
      <c r="C30" s="192" t="str">
        <f t="shared" si="0"/>
        <v xml:space="preserve">DOH AR dan AP belum sesuai </v>
      </c>
      <c r="D30" s="192">
        <f t="shared" si="0"/>
        <v>4</v>
      </c>
      <c r="E30" s="192">
        <f t="shared" si="0"/>
        <v>-4</v>
      </c>
      <c r="F30" s="728">
        <f t="shared" si="1"/>
        <v>6.3492063492063489E-2</v>
      </c>
      <c r="G30" s="728">
        <f t="shared" si="2"/>
        <v>-0.25396825396825395</v>
      </c>
    </row>
    <row r="31" spans="1:7" x14ac:dyDescent="0.25">
      <c r="A31" s="193">
        <v>4</v>
      </c>
      <c r="B31" s="192" t="str">
        <f t="shared" si="0"/>
        <v>Kualitas</v>
      </c>
      <c r="C31" s="192" t="str">
        <f t="shared" si="0"/>
        <v>Masih ada komplain pelanggan terkait produk CINT</v>
      </c>
      <c r="D31" s="192">
        <f t="shared" si="0"/>
        <v>4</v>
      </c>
      <c r="E31" s="192">
        <f t="shared" si="0"/>
        <v>-3</v>
      </c>
      <c r="F31" s="728">
        <f t="shared" si="1"/>
        <v>6.3492063492063489E-2</v>
      </c>
      <c r="G31" s="728">
        <f t="shared" si="2"/>
        <v>-0.19047619047619047</v>
      </c>
    </row>
    <row r="32" spans="1:7" x14ac:dyDescent="0.25">
      <c r="A32" s="193">
        <v>5</v>
      </c>
      <c r="B32" s="192" t="str">
        <f t="shared" si="0"/>
        <v>Kualitas</v>
      </c>
      <c r="C32" s="192" t="str">
        <f t="shared" si="0"/>
        <v>Tingkat kegagalan G2 0,32% diatas target</v>
      </c>
      <c r="D32" s="192">
        <f t="shared" si="0"/>
        <v>4</v>
      </c>
      <c r="E32" s="192">
        <f t="shared" si="0"/>
        <v>3</v>
      </c>
      <c r="F32" s="728">
        <f t="shared" si="1"/>
        <v>6.3492063492063489E-2</v>
      </c>
      <c r="G32" s="728">
        <f t="shared" si="2"/>
        <v>0.19047619047619047</v>
      </c>
    </row>
    <row r="33" spans="1:7" x14ac:dyDescent="0.25">
      <c r="A33" s="193">
        <v>6</v>
      </c>
      <c r="B33" s="192" t="str">
        <f t="shared" si="0"/>
        <v>Proses</v>
      </c>
      <c r="C33" s="192" t="str">
        <f t="shared" si="0"/>
        <v>Dasar Perhitungan Actual Cost di SAP untuk masing masing produk masih menggunakan metode distribusi biaya</v>
      </c>
      <c r="D33" s="192">
        <f t="shared" si="0"/>
        <v>4</v>
      </c>
      <c r="E33" s="192">
        <f t="shared" si="0"/>
        <v>-3</v>
      </c>
      <c r="F33" s="728">
        <f t="shared" si="1"/>
        <v>6.3492063492063489E-2</v>
      </c>
      <c r="G33" s="728">
        <f t="shared" si="2"/>
        <v>-0.19047619047619047</v>
      </c>
    </row>
    <row r="34" spans="1:7" x14ac:dyDescent="0.25">
      <c r="A34" s="193">
        <v>7</v>
      </c>
      <c r="B34" s="192" t="str">
        <f t="shared" si="0"/>
        <v>Proses</v>
      </c>
      <c r="C34" s="192" t="str">
        <f t="shared" si="0"/>
        <v>Masih adanya single supplier</v>
      </c>
      <c r="D34" s="192">
        <f t="shared" si="0"/>
        <v>3</v>
      </c>
      <c r="E34" s="192">
        <f t="shared" si="0"/>
        <v>-3</v>
      </c>
      <c r="F34" s="728">
        <f t="shared" si="1"/>
        <v>4.7619047619047616E-2</v>
      </c>
      <c r="G34" s="728">
        <f t="shared" si="2"/>
        <v>-0.14285714285714285</v>
      </c>
    </row>
    <row r="35" spans="1:7" x14ac:dyDescent="0.25">
      <c r="A35" s="193">
        <v>8</v>
      </c>
      <c r="B35" s="192" t="str">
        <f t="shared" si="0"/>
        <v>Proses</v>
      </c>
      <c r="C35" s="192" t="str">
        <f t="shared" si="0"/>
        <v>Alat Uji Kualitas Alkes masih manual</v>
      </c>
      <c r="D35" s="192">
        <f t="shared" si="0"/>
        <v>3</v>
      </c>
      <c r="E35" s="192">
        <f t="shared" si="0"/>
        <v>-3</v>
      </c>
      <c r="F35" s="728">
        <f t="shared" si="1"/>
        <v>4.7619047619047616E-2</v>
      </c>
      <c r="G35" s="728">
        <f t="shared" si="2"/>
        <v>-0.14285714285714285</v>
      </c>
    </row>
    <row r="36" spans="1:7" x14ac:dyDescent="0.25">
      <c r="A36" s="193">
        <v>9</v>
      </c>
      <c r="B36" s="192" t="str">
        <f t="shared" si="0"/>
        <v>Proses</v>
      </c>
      <c r="C36" s="192" t="str">
        <f t="shared" si="0"/>
        <v>Turn over inventory finish good slow dan unmoving rendah</v>
      </c>
      <c r="D36" s="192">
        <f t="shared" si="0"/>
        <v>4</v>
      </c>
      <c r="E36" s="192">
        <f t="shared" si="0"/>
        <v>-4</v>
      </c>
      <c r="F36" s="728">
        <f t="shared" si="1"/>
        <v>6.3492063492063489E-2</v>
      </c>
      <c r="G36" s="728">
        <f t="shared" si="2"/>
        <v>-0.25396825396825395</v>
      </c>
    </row>
    <row r="37" spans="1:7" x14ac:dyDescent="0.25">
      <c r="A37" s="193">
        <v>10</v>
      </c>
      <c r="B37" s="192" t="str">
        <f t="shared" si="0"/>
        <v>Proses</v>
      </c>
      <c r="C37" s="192" t="str">
        <f t="shared" si="0"/>
        <v>Multiskill karyawan belum dapat diukur</v>
      </c>
      <c r="D37" s="192">
        <f t="shared" si="0"/>
        <v>3</v>
      </c>
      <c r="E37" s="192">
        <f t="shared" si="0"/>
        <v>-2</v>
      </c>
      <c r="F37" s="728">
        <f t="shared" si="1"/>
        <v>4.7619047619047616E-2</v>
      </c>
      <c r="G37" s="728">
        <f t="shared" si="2"/>
        <v>-9.5238095238095233E-2</v>
      </c>
    </row>
    <row r="38" spans="1:7" x14ac:dyDescent="0.25">
      <c r="A38" s="193">
        <v>11</v>
      </c>
      <c r="B38" s="192" t="str">
        <f t="shared" si="0"/>
        <v>Proses</v>
      </c>
      <c r="C38" s="192" t="str">
        <f t="shared" si="0"/>
        <v>Autonomus maintenance belum diimplementasikan</v>
      </c>
      <c r="D38" s="192">
        <f t="shared" si="0"/>
        <v>4</v>
      </c>
      <c r="E38" s="192">
        <f t="shared" si="0"/>
        <v>-3</v>
      </c>
      <c r="F38" s="728">
        <f t="shared" si="1"/>
        <v>6.3492063492063489E-2</v>
      </c>
      <c r="G38" s="728">
        <f t="shared" si="2"/>
        <v>-0.19047619047619047</v>
      </c>
    </row>
    <row r="39" spans="1:7" x14ac:dyDescent="0.25">
      <c r="A39" s="193">
        <v>12</v>
      </c>
      <c r="B39" s="192" t="str">
        <f t="shared" si="0"/>
        <v>Proses</v>
      </c>
      <c r="C39" s="192" t="str">
        <f t="shared" si="0"/>
        <v>Perhitungan kapasitas belum tepat</v>
      </c>
      <c r="D39" s="192">
        <f t="shared" si="0"/>
        <v>4</v>
      </c>
      <c r="E39" s="192">
        <f t="shared" si="0"/>
        <v>-3</v>
      </c>
      <c r="F39" s="728">
        <f t="shared" si="1"/>
        <v>6.3492063492063489E-2</v>
      </c>
      <c r="G39" s="728">
        <f t="shared" si="2"/>
        <v>-0.19047619047619047</v>
      </c>
    </row>
    <row r="40" spans="1:7" x14ac:dyDescent="0.25">
      <c r="A40" s="193">
        <v>13</v>
      </c>
      <c r="B40" s="192" t="str">
        <f t="shared" si="0"/>
        <v>Proses</v>
      </c>
      <c r="C40" s="192" t="str">
        <f t="shared" si="0"/>
        <v>Manajemen gudang Finish Goods belum dikelola dengan baik</v>
      </c>
      <c r="D40" s="192">
        <f t="shared" si="0"/>
        <v>4</v>
      </c>
      <c r="E40" s="192">
        <f t="shared" si="0"/>
        <v>-4</v>
      </c>
      <c r="F40" s="728">
        <f t="shared" si="1"/>
        <v>6.3492063492063489E-2</v>
      </c>
      <c r="G40" s="728">
        <f t="shared" si="2"/>
        <v>-0.25396825396825395</v>
      </c>
    </row>
    <row r="41" spans="1:7" x14ac:dyDescent="0.25">
      <c r="A41" s="193">
        <v>14</v>
      </c>
      <c r="B41" s="192" t="str">
        <f t="shared" si="0"/>
        <v>Regulasi</v>
      </c>
      <c r="C41" s="192" t="str">
        <f t="shared" si="0"/>
        <v>Harga jual naik karena kenaikan PPN 12%</v>
      </c>
      <c r="D41" s="192">
        <f t="shared" si="0"/>
        <v>3</v>
      </c>
      <c r="E41" s="192">
        <f t="shared" si="0"/>
        <v>-4</v>
      </c>
      <c r="F41" s="728">
        <f t="shared" si="1"/>
        <v>4.7619047619047616E-2</v>
      </c>
      <c r="G41" s="728">
        <f t="shared" si="2"/>
        <v>-0.19047619047619047</v>
      </c>
    </row>
    <row r="42" spans="1:7" x14ac:dyDescent="0.25">
      <c r="A42" s="193">
        <v>15</v>
      </c>
      <c r="B42" s="192" t="str">
        <f t="shared" si="0"/>
        <v>Sumber Daya Manusia</v>
      </c>
      <c r="C42" s="192" t="str">
        <f t="shared" si="0"/>
        <v>Sarana olahraga kurang memadai</v>
      </c>
      <c r="D42" s="192">
        <f t="shared" si="0"/>
        <v>2</v>
      </c>
      <c r="E42" s="192">
        <f t="shared" si="0"/>
        <v>-2</v>
      </c>
      <c r="F42" s="728">
        <f t="shared" si="1"/>
        <v>3.1746031746031744E-2</v>
      </c>
      <c r="G42" s="728">
        <f t="shared" si="2"/>
        <v>-6.3492063492063489E-2</v>
      </c>
    </row>
    <row r="43" spans="1:7" x14ac:dyDescent="0.25">
      <c r="A43" s="193">
        <v>16</v>
      </c>
      <c r="B43" s="192" t="str">
        <f t="shared" si="0"/>
        <v>Sumber Daya Manusia</v>
      </c>
      <c r="C43" s="192" t="str">
        <f t="shared" si="0"/>
        <v>Karir mapping belum terkonsep dengan baik</v>
      </c>
      <c r="D43" s="192">
        <f t="shared" si="0"/>
        <v>3</v>
      </c>
      <c r="E43" s="192">
        <f t="shared" si="0"/>
        <v>-3</v>
      </c>
      <c r="F43" s="728">
        <f t="shared" si="1"/>
        <v>4.7619047619047616E-2</v>
      </c>
      <c r="G43" s="728">
        <f t="shared" si="2"/>
        <v>-0.14285714285714285</v>
      </c>
    </row>
    <row r="44" spans="1:7" x14ac:dyDescent="0.25">
      <c r="A44" s="193">
        <f t="shared" ref="A44:E45" si="3">A23</f>
        <v>17</v>
      </c>
      <c r="B44" s="192" t="str">
        <f t="shared" si="3"/>
        <v>Sumber Daya Manusia</v>
      </c>
      <c r="C44" s="192" t="str">
        <f t="shared" si="3"/>
        <v>36% level asisten manager keatas sudah berusia diatas 50 tahun</v>
      </c>
      <c r="D44" s="192">
        <f t="shared" si="3"/>
        <v>3</v>
      </c>
      <c r="E44" s="192">
        <f t="shared" si="3"/>
        <v>-4</v>
      </c>
      <c r="F44" s="728">
        <f t="shared" si="1"/>
        <v>4.7619047619047616E-2</v>
      </c>
      <c r="G44" s="728">
        <f t="shared" si="2"/>
        <v>-0.19047619047619047</v>
      </c>
    </row>
    <row r="45" spans="1:7" x14ac:dyDescent="0.25">
      <c r="A45" s="193">
        <f t="shared" si="3"/>
        <v>18</v>
      </c>
      <c r="B45" s="192" t="str">
        <f t="shared" si="3"/>
        <v>Teknologi</v>
      </c>
      <c r="C45" s="192" t="str">
        <f t="shared" si="3"/>
        <v>Mesin produksi sudah berumur sehingga tidak efisien dan efektif</v>
      </c>
      <c r="D45" s="192">
        <f t="shared" si="3"/>
        <v>4</v>
      </c>
      <c r="E45" s="192">
        <f t="shared" si="3"/>
        <v>-4</v>
      </c>
      <c r="F45" s="728">
        <f t="shared" si="1"/>
        <v>6.3492063492063489E-2</v>
      </c>
      <c r="G45" s="728">
        <f t="shared" si="2"/>
        <v>-0.25396825396825395</v>
      </c>
    </row>
    <row r="46" spans="1:7" x14ac:dyDescent="0.25">
      <c r="A46" s="775" t="str">
        <f t="shared" ref="A46" si="4">B25</f>
        <v>Grand Total</v>
      </c>
      <c r="B46" s="775"/>
      <c r="C46" s="726"/>
      <c r="D46" s="726">
        <f t="shared" ref="D46:E46" si="5">D25</f>
        <v>63</v>
      </c>
      <c r="E46" s="726">
        <f t="shared" si="5"/>
        <v>-53</v>
      </c>
      <c r="F46" s="729">
        <f>SUM(F28:F45)</f>
        <v>1</v>
      </c>
      <c r="G46" s="729">
        <f>SUM(G28:G45)</f>
        <v>-2.9523809523809517</v>
      </c>
    </row>
  </sheetData>
  <mergeCells count="2">
    <mergeCell ref="A1:C1"/>
    <mergeCell ref="A46:B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30D4-77BA-471B-AA39-03EF9239179C}">
  <dimension ref="A1:G38"/>
  <sheetViews>
    <sheetView showGridLines="0" zoomScale="90" zoomScaleNormal="90" workbookViewId="0">
      <selection activeCell="C28" sqref="C28:C37"/>
    </sheetView>
  </sheetViews>
  <sheetFormatPr defaultColWidth="9.140625" defaultRowHeight="15" x14ac:dyDescent="0.25"/>
  <cols>
    <col min="1" max="1" width="5.7109375" style="193" customWidth="1"/>
    <col min="2" max="2" width="25.28515625" style="192" customWidth="1"/>
    <col min="3" max="3" width="83" style="192" bestFit="1" customWidth="1"/>
    <col min="4" max="4" width="13.85546875" style="192" bestFit="1" customWidth="1"/>
    <col min="5" max="5" width="14.42578125" style="192" bestFit="1" customWidth="1"/>
    <col min="6" max="16384" width="9.140625" style="192"/>
  </cols>
  <sheetData>
    <row r="1" spans="1:5" ht="23.25" x14ac:dyDescent="0.35">
      <c r="A1" s="774" t="s">
        <v>478</v>
      </c>
      <c r="B1" s="774"/>
      <c r="C1" s="774"/>
    </row>
    <row r="2" spans="1:5" s="350" customFormat="1" ht="15.75" x14ac:dyDescent="0.25">
      <c r="A2" s="349"/>
      <c r="B2" s="349"/>
      <c r="C2" s="349"/>
    </row>
    <row r="4" spans="1:5" hidden="1" x14ac:dyDescent="0.25">
      <c r="B4" s="702" t="s">
        <v>477</v>
      </c>
      <c r="C4" s="703" t="s">
        <v>9</v>
      </c>
    </row>
    <row r="5" spans="1:5" hidden="1" x14ac:dyDescent="0.25">
      <c r="B5" s="193"/>
    </row>
    <row r="6" spans="1:5" hidden="1" x14ac:dyDescent="0.25">
      <c r="A6" s="727" t="s">
        <v>14</v>
      </c>
      <c r="B6" s="355" t="s">
        <v>4</v>
      </c>
      <c r="C6" s="355" t="s">
        <v>98</v>
      </c>
      <c r="D6" s="708" t="s">
        <v>915</v>
      </c>
      <c r="E6" s="711" t="s">
        <v>916</v>
      </c>
    </row>
    <row r="7" spans="1:5" hidden="1" x14ac:dyDescent="0.25">
      <c r="B7" s="228" t="s">
        <v>188</v>
      </c>
      <c r="C7" s="708" t="s">
        <v>883</v>
      </c>
      <c r="D7" s="708">
        <v>4</v>
      </c>
      <c r="E7" s="711">
        <v>4</v>
      </c>
    </row>
    <row r="8" spans="1:5" hidden="1" x14ac:dyDescent="0.25">
      <c r="B8" s="705" t="s">
        <v>188</v>
      </c>
      <c r="C8" s="708" t="s">
        <v>905</v>
      </c>
      <c r="D8" s="708">
        <v>3</v>
      </c>
      <c r="E8" s="711">
        <v>3</v>
      </c>
    </row>
    <row r="9" spans="1:5" hidden="1" x14ac:dyDescent="0.25">
      <c r="B9" t="s">
        <v>112</v>
      </c>
      <c r="C9" s="708" t="s">
        <v>895</v>
      </c>
      <c r="D9" s="708">
        <v>3</v>
      </c>
      <c r="E9" s="711">
        <v>2</v>
      </c>
    </row>
    <row r="10" spans="1:5" hidden="1" x14ac:dyDescent="0.25">
      <c r="B10" t="s">
        <v>112</v>
      </c>
      <c r="C10" s="708" t="s">
        <v>912</v>
      </c>
      <c r="D10" s="708">
        <v>3</v>
      </c>
      <c r="E10" s="711">
        <v>2</v>
      </c>
    </row>
    <row r="11" spans="1:5" hidden="1" x14ac:dyDescent="0.25">
      <c r="B11" s="704" t="s">
        <v>110</v>
      </c>
      <c r="C11" s="708" t="s">
        <v>584</v>
      </c>
      <c r="D11" s="708">
        <v>3</v>
      </c>
      <c r="E11" s="711">
        <v>2</v>
      </c>
    </row>
    <row r="12" spans="1:5" hidden="1" x14ac:dyDescent="0.25">
      <c r="B12" s="704" t="s">
        <v>110</v>
      </c>
      <c r="C12" s="708" t="s">
        <v>856</v>
      </c>
      <c r="D12" s="708">
        <v>4</v>
      </c>
      <c r="E12" s="711">
        <v>4</v>
      </c>
    </row>
    <row r="13" spans="1:5" hidden="1" x14ac:dyDescent="0.25">
      <c r="B13" t="s">
        <v>108</v>
      </c>
      <c r="C13" s="708" t="s">
        <v>587</v>
      </c>
      <c r="D13" s="708">
        <v>3</v>
      </c>
      <c r="E13" s="711">
        <v>3</v>
      </c>
    </row>
    <row r="14" spans="1:5" hidden="1" x14ac:dyDescent="0.25">
      <c r="B14" t="s">
        <v>108</v>
      </c>
      <c r="C14" s="708" t="s">
        <v>892</v>
      </c>
      <c r="D14" s="708">
        <v>3</v>
      </c>
      <c r="E14" s="711">
        <v>3</v>
      </c>
    </row>
    <row r="15" spans="1:5" hidden="1" x14ac:dyDescent="0.25">
      <c r="B15" t="s">
        <v>101</v>
      </c>
      <c r="C15" s="708" t="s">
        <v>573</v>
      </c>
      <c r="D15" s="708">
        <v>4</v>
      </c>
      <c r="E15" s="711">
        <v>4</v>
      </c>
    </row>
    <row r="16" spans="1:5" hidden="1" x14ac:dyDescent="0.25">
      <c r="B16" t="s">
        <v>101</v>
      </c>
      <c r="C16" s="708" t="s">
        <v>622</v>
      </c>
      <c r="D16" s="708">
        <v>3</v>
      </c>
      <c r="E16" s="711">
        <v>3</v>
      </c>
    </row>
    <row r="17" spans="1:7" hidden="1" x14ac:dyDescent="0.25">
      <c r="B17" s="348" t="s">
        <v>475</v>
      </c>
      <c r="C17" s="348"/>
      <c r="D17" s="712">
        <v>33</v>
      </c>
      <c r="E17" s="713">
        <v>30</v>
      </c>
    </row>
    <row r="18" spans="1:7" hidden="1" x14ac:dyDescent="0.25">
      <c r="B18"/>
      <c r="C18"/>
      <c r="D18"/>
      <c r="E18"/>
    </row>
    <row r="19" spans="1:7" hidden="1" x14ac:dyDescent="0.25">
      <c r="B19"/>
      <c r="C19"/>
      <c r="D19"/>
      <c r="E19"/>
    </row>
    <row r="20" spans="1:7" hidden="1" x14ac:dyDescent="0.25">
      <c r="B20"/>
      <c r="C20"/>
      <c r="D20"/>
      <c r="E20"/>
    </row>
    <row r="21" spans="1:7" hidden="1" x14ac:dyDescent="0.25">
      <c r="B21"/>
      <c r="C21"/>
      <c r="D21"/>
      <c r="E21"/>
    </row>
    <row r="22" spans="1:7" hidden="1" x14ac:dyDescent="0.25">
      <c r="B22"/>
      <c r="C22"/>
      <c r="D22"/>
      <c r="E22"/>
    </row>
    <row r="23" spans="1:7" hidden="1" x14ac:dyDescent="0.25">
      <c r="B23"/>
      <c r="C23"/>
      <c r="D23"/>
      <c r="E23"/>
    </row>
    <row r="24" spans="1:7" x14ac:dyDescent="0.25">
      <c r="B24"/>
      <c r="C24"/>
    </row>
    <row r="25" spans="1:7" x14ac:dyDescent="0.25">
      <c r="B25"/>
      <c r="C25"/>
    </row>
    <row r="27" spans="1:7" x14ac:dyDescent="0.25">
      <c r="A27" s="717" t="s">
        <v>14</v>
      </c>
      <c r="B27" s="726" t="s">
        <v>4</v>
      </c>
      <c r="C27" s="726" t="s">
        <v>98</v>
      </c>
      <c r="D27" s="726" t="s">
        <v>439</v>
      </c>
      <c r="E27" s="726" t="s">
        <v>441</v>
      </c>
      <c r="F27" s="726" t="s">
        <v>440</v>
      </c>
      <c r="G27" s="726" t="s">
        <v>442</v>
      </c>
    </row>
    <row r="28" spans="1:7" x14ac:dyDescent="0.25">
      <c r="A28" s="193">
        <v>1</v>
      </c>
      <c r="B28" s="192" t="str">
        <f t="shared" ref="B28:E38" si="0">B7</f>
        <v>Kinerja Keuangan</v>
      </c>
      <c r="C28" s="192" t="str">
        <f t="shared" si="0"/>
        <v>Kenaikan dividen</v>
      </c>
      <c r="D28" s="192">
        <f t="shared" si="0"/>
        <v>4</v>
      </c>
      <c r="E28" s="192">
        <f t="shared" si="0"/>
        <v>4</v>
      </c>
      <c r="F28" s="728">
        <f>D28/$D$38</f>
        <v>0.12121212121212122</v>
      </c>
      <c r="G28" s="728">
        <f>F28*E28</f>
        <v>0.48484848484848486</v>
      </c>
    </row>
    <row r="29" spans="1:7" x14ac:dyDescent="0.25">
      <c r="A29" s="193">
        <v>2</v>
      </c>
      <c r="B29" s="192" t="str">
        <f t="shared" si="0"/>
        <v>Kinerja Keuangan</v>
      </c>
      <c r="C29" s="192" t="str">
        <f t="shared" si="0"/>
        <v>Kenaikan nilai saham tidak signifikan</v>
      </c>
      <c r="D29" s="192">
        <f t="shared" si="0"/>
        <v>3</v>
      </c>
      <c r="E29" s="192">
        <f t="shared" si="0"/>
        <v>3</v>
      </c>
      <c r="F29" s="728">
        <f t="shared" ref="F29:F37" si="1">D29/$D$38</f>
        <v>9.0909090909090912E-2</v>
      </c>
      <c r="G29" s="728">
        <f t="shared" ref="G29:G37" si="2">F29*E29</f>
        <v>0.27272727272727271</v>
      </c>
    </row>
    <row r="30" spans="1:7" x14ac:dyDescent="0.25">
      <c r="A30" s="193">
        <v>3</v>
      </c>
      <c r="B30" s="192" t="str">
        <f t="shared" si="0"/>
        <v>Lingkungan</v>
      </c>
      <c r="C30" s="192" t="str">
        <f t="shared" si="0"/>
        <v>CINT belum menggunakan energi terbarukan</v>
      </c>
      <c r="D30" s="192">
        <f t="shared" si="0"/>
        <v>3</v>
      </c>
      <c r="E30" s="192">
        <f t="shared" si="0"/>
        <v>2</v>
      </c>
      <c r="F30" s="728">
        <f t="shared" si="1"/>
        <v>9.0909090909090912E-2</v>
      </c>
      <c r="G30" s="728">
        <f t="shared" si="2"/>
        <v>0.18181818181818182</v>
      </c>
    </row>
    <row r="31" spans="1:7" x14ac:dyDescent="0.25">
      <c r="A31" s="193">
        <v>4</v>
      </c>
      <c r="B31" s="192" t="str">
        <f t="shared" si="0"/>
        <v>Lingkungan</v>
      </c>
      <c r="C31" s="192" t="str">
        <f t="shared" si="0"/>
        <v>CINT belum mempunyai program CSR pemberdayaan masyarakat</v>
      </c>
      <c r="D31" s="192">
        <f t="shared" si="0"/>
        <v>3</v>
      </c>
      <c r="E31" s="192">
        <f t="shared" si="0"/>
        <v>2</v>
      </c>
      <c r="F31" s="728">
        <f t="shared" si="1"/>
        <v>9.0909090909090912E-2</v>
      </c>
      <c r="G31" s="728">
        <f t="shared" si="2"/>
        <v>0.18181818181818182</v>
      </c>
    </row>
    <row r="32" spans="1:7" x14ac:dyDescent="0.25">
      <c r="A32" s="193">
        <v>5</v>
      </c>
      <c r="B32" s="192" t="str">
        <f t="shared" si="0"/>
        <v>Penjualan</v>
      </c>
      <c r="C32" s="192" t="str">
        <f t="shared" si="0"/>
        <v>Penjualan Produk Chitose melalui e-commerce Tokopedia &amp; Platform jual beli pemerintah</v>
      </c>
      <c r="D32" s="192">
        <f t="shared" si="0"/>
        <v>3</v>
      </c>
      <c r="E32" s="192">
        <f t="shared" si="0"/>
        <v>2</v>
      </c>
      <c r="F32" s="728">
        <f t="shared" si="1"/>
        <v>9.0909090909090912E-2</v>
      </c>
      <c r="G32" s="728">
        <f t="shared" si="2"/>
        <v>0.18181818181818182</v>
      </c>
    </row>
    <row r="33" spans="1:7" x14ac:dyDescent="0.25">
      <c r="A33" s="193">
        <v>6</v>
      </c>
      <c r="B33" s="192" t="str">
        <f t="shared" si="0"/>
        <v>Penjualan</v>
      </c>
      <c r="C33" s="192" t="str">
        <f t="shared" si="0"/>
        <v xml:space="preserve">Produk Alkes CINT masih terbatas </v>
      </c>
      <c r="D33" s="192">
        <f t="shared" si="0"/>
        <v>4</v>
      </c>
      <c r="E33" s="192">
        <f t="shared" si="0"/>
        <v>4</v>
      </c>
      <c r="F33" s="728">
        <f t="shared" si="1"/>
        <v>0.12121212121212122</v>
      </c>
      <c r="G33" s="728">
        <f t="shared" si="2"/>
        <v>0.48484848484848486</v>
      </c>
    </row>
    <row r="34" spans="1:7" x14ac:dyDescent="0.25">
      <c r="A34" s="193">
        <v>7</v>
      </c>
      <c r="B34" s="192" t="str">
        <f t="shared" si="0"/>
        <v>Proses</v>
      </c>
      <c r="C34" s="192" t="str">
        <f t="shared" si="0"/>
        <v>Keterbukaan supplier dalam meningkatkan kemampuan dan kualitas sesuai standar CINT</v>
      </c>
      <c r="D34" s="192">
        <f t="shared" si="0"/>
        <v>3</v>
      </c>
      <c r="E34" s="192">
        <f t="shared" si="0"/>
        <v>3</v>
      </c>
      <c r="F34" s="728">
        <f t="shared" si="1"/>
        <v>9.0909090909090912E-2</v>
      </c>
      <c r="G34" s="728">
        <f t="shared" si="2"/>
        <v>0.27272727272727271</v>
      </c>
    </row>
    <row r="35" spans="1:7" x14ac:dyDescent="0.25">
      <c r="A35" s="193">
        <v>8</v>
      </c>
      <c r="B35" s="192" t="str">
        <f t="shared" si="0"/>
        <v>Proses</v>
      </c>
      <c r="C35" s="192" t="str">
        <f t="shared" si="0"/>
        <v>Persentase repeat order? Ke PCH</v>
      </c>
      <c r="D35" s="192">
        <f t="shared" si="0"/>
        <v>3</v>
      </c>
      <c r="E35" s="192">
        <f t="shared" si="0"/>
        <v>3</v>
      </c>
      <c r="F35" s="728">
        <f t="shared" si="1"/>
        <v>9.0909090909090912E-2</v>
      </c>
      <c r="G35" s="728">
        <f t="shared" si="2"/>
        <v>0.27272727272727271</v>
      </c>
    </row>
    <row r="36" spans="1:7" x14ac:dyDescent="0.25">
      <c r="A36" s="193">
        <v>9</v>
      </c>
      <c r="B36" s="192" t="str">
        <f t="shared" si="0"/>
        <v>Regulasi</v>
      </c>
      <c r="C36" s="192" t="str">
        <f t="shared" si="0"/>
        <v>Produk CINT sudah tersertifikasi TKDN dan SNI</v>
      </c>
      <c r="D36" s="192">
        <f t="shared" si="0"/>
        <v>4</v>
      </c>
      <c r="E36" s="192">
        <f t="shared" si="0"/>
        <v>4</v>
      </c>
      <c r="F36" s="728">
        <f t="shared" si="1"/>
        <v>0.12121212121212122</v>
      </c>
      <c r="G36" s="728">
        <f t="shared" si="2"/>
        <v>0.48484848484848486</v>
      </c>
    </row>
    <row r="37" spans="1:7" x14ac:dyDescent="0.25">
      <c r="A37" s="193">
        <v>10</v>
      </c>
      <c r="B37" s="192" t="str">
        <f t="shared" si="0"/>
        <v>Regulasi</v>
      </c>
      <c r="C37" s="192" t="str">
        <f t="shared" si="0"/>
        <v>Konsisten pelaksanaan program CSR untuk masyarakat sekitar</v>
      </c>
      <c r="D37" s="192">
        <f t="shared" si="0"/>
        <v>3</v>
      </c>
      <c r="E37" s="192">
        <f t="shared" si="0"/>
        <v>3</v>
      </c>
      <c r="F37" s="728">
        <f t="shared" si="1"/>
        <v>9.0909090909090912E-2</v>
      </c>
      <c r="G37" s="728">
        <f t="shared" si="2"/>
        <v>0.27272727272727271</v>
      </c>
    </row>
    <row r="38" spans="1:7" x14ac:dyDescent="0.25">
      <c r="A38" s="717"/>
      <c r="B38" s="726" t="str">
        <f t="shared" si="0"/>
        <v>Grand Total</v>
      </c>
      <c r="C38" s="726"/>
      <c r="D38" s="726">
        <f t="shared" si="0"/>
        <v>33</v>
      </c>
      <c r="E38" s="726">
        <f t="shared" si="0"/>
        <v>30</v>
      </c>
      <c r="F38" s="729">
        <f>SUM(F28:F37)</f>
        <v>1</v>
      </c>
      <c r="G38" s="729">
        <f>SUM(G28:G37)</f>
        <v>3.0909090909090908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Isu Th.2022</vt:lpstr>
      <vt:lpstr>PVT Isu Th.2022</vt:lpstr>
      <vt:lpstr>Isu th.2022 All</vt:lpstr>
      <vt:lpstr>Isu Int-Eks</vt:lpstr>
      <vt:lpstr>Isu Int-Ekst</vt:lpstr>
      <vt:lpstr>PVT Isu Int-Eks</vt:lpstr>
      <vt:lpstr>Strenght</vt:lpstr>
      <vt:lpstr>Weakness</vt:lpstr>
      <vt:lpstr>Opportunity</vt:lpstr>
      <vt:lpstr>Threat</vt:lpstr>
      <vt:lpstr>Positioning</vt:lpstr>
      <vt:lpstr>Matrix Strategi SWOT</vt:lpstr>
      <vt:lpstr>Sheet1</vt:lpstr>
      <vt:lpstr>Sheet2</vt:lpstr>
      <vt:lpstr>Kategori &amp; Definisi</vt:lpstr>
      <vt:lpstr>Cascading</vt:lpstr>
      <vt:lpstr>BSC Corporate</vt:lpstr>
      <vt:lpstr>Database Corp.</vt:lpstr>
      <vt:lpstr>'BSC Corporate'!Print_Area</vt:lpstr>
      <vt:lpstr>'Isu Int-Eks'!Print_Area</vt:lpstr>
      <vt:lpstr>'Isu Int-Ekst'!Print_Area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MT05</cp:lastModifiedBy>
  <cp:lastPrinted>2023-11-23T03:00:02Z</cp:lastPrinted>
  <dcterms:created xsi:type="dcterms:W3CDTF">2023-11-10T02:18:16Z</dcterms:created>
  <dcterms:modified xsi:type="dcterms:W3CDTF">2024-11-06T01:53:16Z</dcterms:modified>
</cp:coreProperties>
</file>