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1. JAN 2023\"/>
    </mc:Choice>
  </mc:AlternateContent>
  <xr:revisionPtr revIDLastSave="0" documentId="13_ncr:1_{186352CE-F9D1-40A4-9B65-3CEB337F5C44}" xr6:coauthVersionLast="47" xr6:coauthVersionMax="47" xr10:uidLastSave="{00000000-0000-0000-0000-000000000000}"/>
  <bookViews>
    <workbookView xWindow="-110" yWindow="-110" windowWidth="19420" windowHeight="10300" tabRatio="593" activeTab="3" xr2:uid="{00000000-000D-0000-FFFF-FFFF00000000}"/>
  </bookViews>
  <sheets>
    <sheet name="BSC 2023 DEPT PRD" sheetId="1" r:id="rId1"/>
    <sheet name="BUDGET" sheetId="3" r:id="rId2"/>
    <sheet name="TPM" sheetId="4" r:id="rId3"/>
    <sheet name="HARAPAN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" i="1" l="1"/>
  <c r="B43" i="4" l="1"/>
  <c r="I7" i="4" l="1"/>
  <c r="F6" i="1" l="1"/>
  <c r="P906" i="3" l="1"/>
  <c r="D905" i="3"/>
  <c r="E905" i="3" s="1"/>
  <c r="D904" i="3"/>
  <c r="E904" i="3" s="1"/>
  <c r="F904" i="3" s="1"/>
  <c r="G904" i="3" s="1"/>
  <c r="H904" i="3" s="1"/>
  <c r="I904" i="3" s="1"/>
  <c r="J904" i="3" s="1"/>
  <c r="K904" i="3" s="1"/>
  <c r="L904" i="3" s="1"/>
  <c r="M904" i="3" s="1"/>
  <c r="N904" i="3" s="1"/>
  <c r="O904" i="3" s="1"/>
  <c r="P903" i="3"/>
  <c r="D903" i="3"/>
  <c r="E903" i="3" s="1"/>
  <c r="F903" i="3" s="1"/>
  <c r="G903" i="3" s="1"/>
  <c r="H903" i="3" s="1"/>
  <c r="I903" i="3" s="1"/>
  <c r="J903" i="3" s="1"/>
  <c r="K903" i="3" s="1"/>
  <c r="L903" i="3" s="1"/>
  <c r="M903" i="3" s="1"/>
  <c r="N903" i="3" s="1"/>
  <c r="O903" i="3" s="1"/>
  <c r="D902" i="3"/>
  <c r="D901" i="3"/>
  <c r="D900" i="3"/>
  <c r="E900" i="3" s="1"/>
  <c r="F900" i="3" s="1"/>
  <c r="G900" i="3" s="1"/>
  <c r="H900" i="3" s="1"/>
  <c r="I900" i="3" s="1"/>
  <c r="J900" i="3" s="1"/>
  <c r="K900" i="3" s="1"/>
  <c r="L900" i="3" s="1"/>
  <c r="M900" i="3" s="1"/>
  <c r="N900" i="3" s="1"/>
  <c r="O900" i="3" s="1"/>
  <c r="P899" i="3"/>
  <c r="P898" i="3"/>
  <c r="P897" i="3"/>
  <c r="O896" i="3"/>
  <c r="N896" i="3"/>
  <c r="M896" i="3"/>
  <c r="L896" i="3"/>
  <c r="K896" i="3"/>
  <c r="J896" i="3"/>
  <c r="I896" i="3"/>
  <c r="H896" i="3"/>
  <c r="G896" i="3"/>
  <c r="F896" i="3"/>
  <c r="E896" i="3"/>
  <c r="D896" i="3"/>
  <c r="O895" i="3"/>
  <c r="N895" i="3"/>
  <c r="M895" i="3"/>
  <c r="L895" i="3"/>
  <c r="L161" i="3" s="1"/>
  <c r="K895" i="3"/>
  <c r="J895" i="3"/>
  <c r="I895" i="3"/>
  <c r="I161" i="3" s="1"/>
  <c r="H895" i="3"/>
  <c r="G895" i="3"/>
  <c r="F895" i="3"/>
  <c r="E895" i="3"/>
  <c r="D895" i="3"/>
  <c r="D161" i="3" s="1"/>
  <c r="O894" i="3"/>
  <c r="N894" i="3"/>
  <c r="M894" i="3"/>
  <c r="L894" i="3"/>
  <c r="K894" i="3"/>
  <c r="J894" i="3"/>
  <c r="I894" i="3"/>
  <c r="H894" i="3"/>
  <c r="H160" i="3" s="1"/>
  <c r="G894" i="3"/>
  <c r="F894" i="3"/>
  <c r="E894" i="3"/>
  <c r="D894" i="3"/>
  <c r="O893" i="3"/>
  <c r="N893" i="3"/>
  <c r="M893" i="3"/>
  <c r="M159" i="3" s="1"/>
  <c r="L893" i="3"/>
  <c r="K893" i="3"/>
  <c r="J893" i="3"/>
  <c r="I893" i="3"/>
  <c r="H893" i="3"/>
  <c r="G893" i="3"/>
  <c r="F893" i="3"/>
  <c r="E893" i="3"/>
  <c r="P893" i="3" s="1"/>
  <c r="D893" i="3"/>
  <c r="O892" i="3"/>
  <c r="N892" i="3"/>
  <c r="N158" i="3" s="1"/>
  <c r="M892" i="3"/>
  <c r="L892" i="3"/>
  <c r="K892" i="3"/>
  <c r="J892" i="3"/>
  <c r="I892" i="3"/>
  <c r="H892" i="3"/>
  <c r="G892" i="3"/>
  <c r="F892" i="3"/>
  <c r="F158" i="3" s="1"/>
  <c r="E892" i="3"/>
  <c r="D892" i="3"/>
  <c r="P884" i="3"/>
  <c r="D883" i="3"/>
  <c r="E883" i="3" s="1"/>
  <c r="F883" i="3" s="1"/>
  <c r="G883" i="3" s="1"/>
  <c r="H883" i="3" s="1"/>
  <c r="I883" i="3" s="1"/>
  <c r="J883" i="3" s="1"/>
  <c r="K883" i="3" s="1"/>
  <c r="L883" i="3" s="1"/>
  <c r="M883" i="3" s="1"/>
  <c r="N883" i="3" s="1"/>
  <c r="O883" i="3" s="1"/>
  <c r="D882" i="3"/>
  <c r="D881" i="3"/>
  <c r="E881" i="3" s="1"/>
  <c r="F881" i="3" s="1"/>
  <c r="G881" i="3" s="1"/>
  <c r="H881" i="3" s="1"/>
  <c r="I881" i="3" s="1"/>
  <c r="J881" i="3" s="1"/>
  <c r="K881" i="3" s="1"/>
  <c r="L881" i="3" s="1"/>
  <c r="M881" i="3" s="1"/>
  <c r="N881" i="3" s="1"/>
  <c r="O881" i="3" s="1"/>
  <c r="D880" i="3"/>
  <c r="D879" i="3"/>
  <c r="D878" i="3"/>
  <c r="E878" i="3" s="1"/>
  <c r="P877" i="3"/>
  <c r="P876" i="3"/>
  <c r="P875" i="3"/>
  <c r="O874" i="3"/>
  <c r="N874" i="3"/>
  <c r="M874" i="3"/>
  <c r="M162" i="3" s="1"/>
  <c r="L874" i="3"/>
  <c r="K874" i="3"/>
  <c r="J874" i="3"/>
  <c r="I874" i="3"/>
  <c r="H874" i="3"/>
  <c r="G874" i="3"/>
  <c r="F874" i="3"/>
  <c r="E874" i="3"/>
  <c r="E162" i="3" s="1"/>
  <c r="D874" i="3"/>
  <c r="P873" i="3"/>
  <c r="P872" i="3"/>
  <c r="O871" i="3"/>
  <c r="N871" i="3"/>
  <c r="N159" i="3" s="1"/>
  <c r="M871" i="3"/>
  <c r="L871" i="3"/>
  <c r="K871" i="3"/>
  <c r="K159" i="3" s="1"/>
  <c r="J871" i="3"/>
  <c r="I871" i="3"/>
  <c r="H871" i="3"/>
  <c r="G871" i="3"/>
  <c r="F871" i="3"/>
  <c r="F159" i="3" s="1"/>
  <c r="E871" i="3"/>
  <c r="D871" i="3"/>
  <c r="O870" i="3"/>
  <c r="N870" i="3"/>
  <c r="M870" i="3"/>
  <c r="L870" i="3"/>
  <c r="K870" i="3"/>
  <c r="J870" i="3"/>
  <c r="J158" i="3" s="1"/>
  <c r="I870" i="3"/>
  <c r="H870" i="3"/>
  <c r="G870" i="3"/>
  <c r="F870" i="3"/>
  <c r="E870" i="3"/>
  <c r="D870" i="3"/>
  <c r="P862" i="3"/>
  <c r="D861" i="3"/>
  <c r="D171" i="3" s="1"/>
  <c r="D860" i="3"/>
  <c r="D859" i="3"/>
  <c r="E859" i="3" s="1"/>
  <c r="D858" i="3"/>
  <c r="E858" i="3" s="1"/>
  <c r="F858" i="3" s="1"/>
  <c r="G858" i="3" s="1"/>
  <c r="H858" i="3" s="1"/>
  <c r="I858" i="3" s="1"/>
  <c r="J858" i="3" s="1"/>
  <c r="K858" i="3" s="1"/>
  <c r="L858" i="3" s="1"/>
  <c r="M858" i="3" s="1"/>
  <c r="N858" i="3" s="1"/>
  <c r="O858" i="3" s="1"/>
  <c r="H857" i="3"/>
  <c r="I857" i="3" s="1"/>
  <c r="J857" i="3" s="1"/>
  <c r="K857" i="3" s="1"/>
  <c r="L857" i="3" s="1"/>
  <c r="M857" i="3" s="1"/>
  <c r="N857" i="3" s="1"/>
  <c r="O857" i="3" s="1"/>
  <c r="D857" i="3"/>
  <c r="E857" i="3" s="1"/>
  <c r="F857" i="3" s="1"/>
  <c r="G857" i="3" s="1"/>
  <c r="D856" i="3"/>
  <c r="E856" i="3" s="1"/>
  <c r="F856" i="3" s="1"/>
  <c r="G856" i="3" s="1"/>
  <c r="H856" i="3" s="1"/>
  <c r="I856" i="3" s="1"/>
  <c r="J856" i="3" s="1"/>
  <c r="K856" i="3" s="1"/>
  <c r="L856" i="3" s="1"/>
  <c r="M856" i="3" s="1"/>
  <c r="N856" i="3" s="1"/>
  <c r="O855" i="3"/>
  <c r="N855" i="3"/>
  <c r="M855" i="3"/>
  <c r="L855" i="3"/>
  <c r="K855" i="3"/>
  <c r="J855" i="3"/>
  <c r="I855" i="3"/>
  <c r="H855" i="3"/>
  <c r="G855" i="3"/>
  <c r="F855" i="3"/>
  <c r="E855" i="3"/>
  <c r="D855" i="3"/>
  <c r="P854" i="3"/>
  <c r="P853" i="3"/>
  <c r="O852" i="3"/>
  <c r="N852" i="3"/>
  <c r="M852" i="3"/>
  <c r="L852" i="3"/>
  <c r="K852" i="3"/>
  <c r="J852" i="3"/>
  <c r="I852" i="3"/>
  <c r="H852" i="3"/>
  <c r="G852" i="3"/>
  <c r="F852" i="3"/>
  <c r="E852" i="3"/>
  <c r="D852" i="3"/>
  <c r="P851" i="3"/>
  <c r="D851" i="3"/>
  <c r="O850" i="3"/>
  <c r="N850" i="3"/>
  <c r="N160" i="3" s="1"/>
  <c r="M850" i="3"/>
  <c r="L850" i="3"/>
  <c r="K850" i="3"/>
  <c r="J850" i="3"/>
  <c r="I850" i="3"/>
  <c r="I160" i="3" s="1"/>
  <c r="H850" i="3"/>
  <c r="G850" i="3"/>
  <c r="F850" i="3"/>
  <c r="F160" i="3" s="1"/>
  <c r="E850" i="3"/>
  <c r="D850" i="3"/>
  <c r="P849" i="3"/>
  <c r="P848" i="3"/>
  <c r="P840" i="3"/>
  <c r="D839" i="3"/>
  <c r="D838" i="3"/>
  <c r="D837" i="3"/>
  <c r="E837" i="3" s="1"/>
  <c r="F837" i="3" s="1"/>
  <c r="G837" i="3" s="1"/>
  <c r="H837" i="3" s="1"/>
  <c r="I837" i="3" s="1"/>
  <c r="J837" i="3" s="1"/>
  <c r="K837" i="3" s="1"/>
  <c r="L837" i="3" s="1"/>
  <c r="M837" i="3" s="1"/>
  <c r="N837" i="3" s="1"/>
  <c r="O837" i="3" s="1"/>
  <c r="E836" i="3"/>
  <c r="F836" i="3" s="1"/>
  <c r="G836" i="3" s="1"/>
  <c r="H836" i="3" s="1"/>
  <c r="I836" i="3" s="1"/>
  <c r="J836" i="3" s="1"/>
  <c r="K836" i="3" s="1"/>
  <c r="D836" i="3"/>
  <c r="D835" i="3"/>
  <c r="E835" i="3" s="1"/>
  <c r="F835" i="3" s="1"/>
  <c r="G835" i="3" s="1"/>
  <c r="H835" i="3" s="1"/>
  <c r="I835" i="3" s="1"/>
  <c r="J835" i="3" s="1"/>
  <c r="K835" i="3" s="1"/>
  <c r="L835" i="3" s="1"/>
  <c r="M835" i="3" s="1"/>
  <c r="N835" i="3" s="1"/>
  <c r="O835" i="3" s="1"/>
  <c r="D834" i="3"/>
  <c r="D833" i="3"/>
  <c r="O832" i="3"/>
  <c r="N832" i="3"/>
  <c r="M832" i="3"/>
  <c r="L832" i="3"/>
  <c r="L165" i="3" s="1"/>
  <c r="K832" i="3"/>
  <c r="J832" i="3"/>
  <c r="I832" i="3"/>
  <c r="I165" i="3" s="1"/>
  <c r="H832" i="3"/>
  <c r="G832" i="3"/>
  <c r="F832" i="3"/>
  <c r="E832" i="3"/>
  <c r="D832" i="3"/>
  <c r="D165" i="3" s="1"/>
  <c r="P831" i="3"/>
  <c r="P830" i="3"/>
  <c r="O829" i="3"/>
  <c r="O162" i="3" s="1"/>
  <c r="N829" i="3"/>
  <c r="M829" i="3"/>
  <c r="L829" i="3"/>
  <c r="K829" i="3"/>
  <c r="J829" i="3"/>
  <c r="J162" i="3" s="1"/>
  <c r="I829" i="3"/>
  <c r="H829" i="3"/>
  <c r="G829" i="3"/>
  <c r="G162" i="3" s="1"/>
  <c r="F829" i="3"/>
  <c r="E829" i="3"/>
  <c r="D829" i="3"/>
  <c r="O828" i="3"/>
  <c r="N828" i="3"/>
  <c r="N161" i="3" s="1"/>
  <c r="M828" i="3"/>
  <c r="L828" i="3"/>
  <c r="K828" i="3"/>
  <c r="K161" i="3" s="1"/>
  <c r="J828" i="3"/>
  <c r="I828" i="3"/>
  <c r="H828" i="3"/>
  <c r="G828" i="3"/>
  <c r="F828" i="3"/>
  <c r="F161" i="3" s="1"/>
  <c r="E828" i="3"/>
  <c r="D828" i="3"/>
  <c r="P827" i="3"/>
  <c r="P826" i="3"/>
  <c r="O825" i="3"/>
  <c r="N825" i="3"/>
  <c r="M825" i="3"/>
  <c r="L825" i="3"/>
  <c r="K825" i="3"/>
  <c r="J825" i="3"/>
  <c r="I825" i="3"/>
  <c r="I158" i="3" s="1"/>
  <c r="H825" i="3"/>
  <c r="G825" i="3"/>
  <c r="F825" i="3"/>
  <c r="E825" i="3"/>
  <c r="D825" i="3"/>
  <c r="D813" i="3"/>
  <c r="E813" i="3" s="1"/>
  <c r="F813" i="3" s="1"/>
  <c r="G813" i="3" s="1"/>
  <c r="H813" i="3" s="1"/>
  <c r="I813" i="3" s="1"/>
  <c r="J813" i="3" s="1"/>
  <c r="K813" i="3" s="1"/>
  <c r="L813" i="3" s="1"/>
  <c r="M813" i="3" s="1"/>
  <c r="N813" i="3" s="1"/>
  <c r="O813" i="3" s="1"/>
  <c r="D812" i="3"/>
  <c r="E812" i="3" s="1"/>
  <c r="E811" i="3"/>
  <c r="F811" i="3" s="1"/>
  <c r="G811" i="3" s="1"/>
  <c r="H811" i="3" s="1"/>
  <c r="I811" i="3" s="1"/>
  <c r="J811" i="3" s="1"/>
  <c r="K811" i="3" s="1"/>
  <c r="L811" i="3" s="1"/>
  <c r="M811" i="3" s="1"/>
  <c r="N811" i="3" s="1"/>
  <c r="O811" i="3" s="1"/>
  <c r="D811" i="3"/>
  <c r="P810" i="3"/>
  <c r="E809" i="3"/>
  <c r="D809" i="3"/>
  <c r="E807" i="3"/>
  <c r="F807" i="3" s="1"/>
  <c r="G807" i="3" s="1"/>
  <c r="H807" i="3" s="1"/>
  <c r="I807" i="3" s="1"/>
  <c r="J807" i="3" s="1"/>
  <c r="K807" i="3" s="1"/>
  <c r="L807" i="3" s="1"/>
  <c r="M807" i="3" s="1"/>
  <c r="N807" i="3" s="1"/>
  <c r="O807" i="3" s="1"/>
  <c r="D807" i="3"/>
  <c r="P806" i="3"/>
  <c r="P805" i="3"/>
  <c r="D804" i="3"/>
  <c r="P803" i="3"/>
  <c r="P802" i="3"/>
  <c r="P801" i="3"/>
  <c r="L800" i="3"/>
  <c r="D800" i="3"/>
  <c r="P799" i="3"/>
  <c r="P798" i="3"/>
  <c r="P797" i="3"/>
  <c r="P796" i="3"/>
  <c r="P795" i="3"/>
  <c r="O794" i="3"/>
  <c r="N794" i="3"/>
  <c r="M794" i="3"/>
  <c r="L794" i="3"/>
  <c r="K794" i="3"/>
  <c r="J794" i="3"/>
  <c r="I794" i="3"/>
  <c r="H794" i="3"/>
  <c r="G794" i="3"/>
  <c r="F794" i="3"/>
  <c r="P794" i="3" s="1"/>
  <c r="E794" i="3"/>
  <c r="D794" i="3"/>
  <c r="P793" i="3"/>
  <c r="P792" i="3"/>
  <c r="P791" i="3"/>
  <c r="P790" i="3"/>
  <c r="O789" i="3"/>
  <c r="O800" i="3" s="1"/>
  <c r="N789" i="3"/>
  <c r="N127" i="3" s="1"/>
  <c r="M789" i="3"/>
  <c r="M800" i="3" s="1"/>
  <c r="L789" i="3"/>
  <c r="K789" i="3"/>
  <c r="K800" i="3" s="1"/>
  <c r="J789" i="3"/>
  <c r="J800" i="3" s="1"/>
  <c r="I789" i="3"/>
  <c r="I800" i="3" s="1"/>
  <c r="H789" i="3"/>
  <c r="H800" i="3" s="1"/>
  <c r="G789" i="3"/>
  <c r="G800" i="3" s="1"/>
  <c r="F789" i="3"/>
  <c r="F127" i="3" s="1"/>
  <c r="E789" i="3"/>
  <c r="E800" i="3" s="1"/>
  <c r="D789" i="3"/>
  <c r="P788" i="3"/>
  <c r="P787" i="3"/>
  <c r="P786" i="3"/>
  <c r="P785" i="3"/>
  <c r="P784" i="3"/>
  <c r="P783" i="3"/>
  <c r="P782" i="3"/>
  <c r="O780" i="3"/>
  <c r="N780" i="3"/>
  <c r="M780" i="3"/>
  <c r="L780" i="3"/>
  <c r="K780" i="3"/>
  <c r="J780" i="3"/>
  <c r="I780" i="3"/>
  <c r="H780" i="3"/>
  <c r="G780" i="3"/>
  <c r="F780" i="3"/>
  <c r="E780" i="3"/>
  <c r="D780" i="3"/>
  <c r="P778" i="3"/>
  <c r="P777" i="3"/>
  <c r="P776" i="3"/>
  <c r="D763" i="3"/>
  <c r="E763" i="3" s="1"/>
  <c r="F763" i="3" s="1"/>
  <c r="G763" i="3" s="1"/>
  <c r="H763" i="3" s="1"/>
  <c r="I763" i="3" s="1"/>
  <c r="J763" i="3" s="1"/>
  <c r="K763" i="3" s="1"/>
  <c r="L763" i="3" s="1"/>
  <c r="M763" i="3" s="1"/>
  <c r="N763" i="3" s="1"/>
  <c r="O763" i="3" s="1"/>
  <c r="D762" i="3"/>
  <c r="D761" i="3"/>
  <c r="P760" i="3"/>
  <c r="D759" i="3"/>
  <c r="E759" i="3" s="1"/>
  <c r="D757" i="3"/>
  <c r="P756" i="3"/>
  <c r="P755" i="3"/>
  <c r="D754" i="3"/>
  <c r="E754" i="3" s="1"/>
  <c r="F754" i="3" s="1"/>
  <c r="P753" i="3"/>
  <c r="P752" i="3"/>
  <c r="P751" i="3"/>
  <c r="P749" i="3"/>
  <c r="O748" i="3"/>
  <c r="O136" i="3" s="1"/>
  <c r="N748" i="3"/>
  <c r="M748" i="3"/>
  <c r="L748" i="3"/>
  <c r="K748" i="3"/>
  <c r="J748" i="3"/>
  <c r="I748" i="3"/>
  <c r="H748" i="3"/>
  <c r="G748" i="3"/>
  <c r="G136" i="3" s="1"/>
  <c r="F748" i="3"/>
  <c r="E748" i="3"/>
  <c r="D748" i="3"/>
  <c r="P747" i="3"/>
  <c r="D746" i="3"/>
  <c r="D134" i="3" s="1"/>
  <c r="P745" i="3"/>
  <c r="O744" i="3"/>
  <c r="N744" i="3"/>
  <c r="M744" i="3"/>
  <c r="L744" i="3"/>
  <c r="K744" i="3"/>
  <c r="J744" i="3"/>
  <c r="I744" i="3"/>
  <c r="H744" i="3"/>
  <c r="G744" i="3"/>
  <c r="F744" i="3"/>
  <c r="E744" i="3"/>
  <c r="D744" i="3"/>
  <c r="O743" i="3"/>
  <c r="N743" i="3"/>
  <c r="M743" i="3"/>
  <c r="L743" i="3"/>
  <c r="K743" i="3"/>
  <c r="J743" i="3"/>
  <c r="I743" i="3"/>
  <c r="H743" i="3"/>
  <c r="G743" i="3"/>
  <c r="F743" i="3"/>
  <c r="E743" i="3"/>
  <c r="D743" i="3"/>
  <c r="O742" i="3"/>
  <c r="N742" i="3"/>
  <c r="M742" i="3"/>
  <c r="L742" i="3"/>
  <c r="K742" i="3"/>
  <c r="J742" i="3"/>
  <c r="I742" i="3"/>
  <c r="H742" i="3"/>
  <c r="G742" i="3"/>
  <c r="F742" i="3"/>
  <c r="E742" i="3"/>
  <c r="D742" i="3"/>
  <c r="P741" i="3"/>
  <c r="P740" i="3"/>
  <c r="P739" i="3"/>
  <c r="P738" i="3"/>
  <c r="P737" i="3"/>
  <c r="P736" i="3"/>
  <c r="P735" i="3"/>
  <c r="P734" i="3"/>
  <c r="P733" i="3"/>
  <c r="P732" i="3"/>
  <c r="P730" i="3"/>
  <c r="O730" i="3"/>
  <c r="N730" i="3"/>
  <c r="M730" i="3"/>
  <c r="L730" i="3"/>
  <c r="K730" i="3"/>
  <c r="J730" i="3"/>
  <c r="I730" i="3"/>
  <c r="H730" i="3"/>
  <c r="G730" i="3"/>
  <c r="F730" i="3"/>
  <c r="E730" i="3"/>
  <c r="D730" i="3"/>
  <c r="P728" i="3"/>
  <c r="P727" i="3"/>
  <c r="P726" i="3"/>
  <c r="D713" i="3"/>
  <c r="P712" i="3"/>
  <c r="H711" i="3"/>
  <c r="I711" i="3" s="1"/>
  <c r="J711" i="3" s="1"/>
  <c r="K711" i="3" s="1"/>
  <c r="L711" i="3" s="1"/>
  <c r="M711" i="3" s="1"/>
  <c r="N711" i="3" s="1"/>
  <c r="O711" i="3" s="1"/>
  <c r="D711" i="3"/>
  <c r="E711" i="3" s="1"/>
  <c r="F711" i="3" s="1"/>
  <c r="G711" i="3" s="1"/>
  <c r="P710" i="3"/>
  <c r="D709" i="3"/>
  <c r="E708" i="3"/>
  <c r="D707" i="3"/>
  <c r="E707" i="3" s="1"/>
  <c r="F707" i="3" s="1"/>
  <c r="G707" i="3" s="1"/>
  <c r="H707" i="3" s="1"/>
  <c r="I707" i="3" s="1"/>
  <c r="J707" i="3" s="1"/>
  <c r="K707" i="3" s="1"/>
  <c r="L707" i="3" s="1"/>
  <c r="M707" i="3" s="1"/>
  <c r="N707" i="3" s="1"/>
  <c r="O707" i="3" s="1"/>
  <c r="P706" i="3"/>
  <c r="P705" i="3"/>
  <c r="G704" i="3"/>
  <c r="H704" i="3" s="1"/>
  <c r="I704" i="3" s="1"/>
  <c r="J704" i="3" s="1"/>
  <c r="K704" i="3" s="1"/>
  <c r="D704" i="3"/>
  <c r="E704" i="3" s="1"/>
  <c r="F704" i="3" s="1"/>
  <c r="P703" i="3"/>
  <c r="O702" i="3"/>
  <c r="N702" i="3"/>
  <c r="M702" i="3"/>
  <c r="L702" i="3"/>
  <c r="K702" i="3"/>
  <c r="J702" i="3"/>
  <c r="I702" i="3"/>
  <c r="H702" i="3"/>
  <c r="G702" i="3"/>
  <c r="F702" i="3"/>
  <c r="F708" i="3" s="1"/>
  <c r="E702" i="3"/>
  <c r="D702" i="3"/>
  <c r="D708" i="3" s="1"/>
  <c r="P701" i="3"/>
  <c r="O699" i="3"/>
  <c r="N699" i="3"/>
  <c r="M699" i="3"/>
  <c r="L699" i="3"/>
  <c r="K699" i="3"/>
  <c r="J699" i="3"/>
  <c r="I699" i="3"/>
  <c r="H699" i="3"/>
  <c r="P699" i="3" s="1"/>
  <c r="G699" i="3"/>
  <c r="F699" i="3"/>
  <c r="E699" i="3"/>
  <c r="D699" i="3"/>
  <c r="P698" i="3"/>
  <c r="P697" i="3"/>
  <c r="P696" i="3"/>
  <c r="P695" i="3"/>
  <c r="O694" i="3"/>
  <c r="N694" i="3"/>
  <c r="M694" i="3"/>
  <c r="L694" i="3"/>
  <c r="K694" i="3"/>
  <c r="J694" i="3"/>
  <c r="I694" i="3"/>
  <c r="H694" i="3"/>
  <c r="G694" i="3"/>
  <c r="F694" i="3"/>
  <c r="E694" i="3"/>
  <c r="D694" i="3"/>
  <c r="O693" i="3"/>
  <c r="N693" i="3"/>
  <c r="M693" i="3"/>
  <c r="L693" i="3"/>
  <c r="K693" i="3"/>
  <c r="J693" i="3"/>
  <c r="I693" i="3"/>
  <c r="H693" i="3"/>
  <c r="G693" i="3"/>
  <c r="F693" i="3"/>
  <c r="E693" i="3"/>
  <c r="D693" i="3"/>
  <c r="O692" i="3"/>
  <c r="N692" i="3"/>
  <c r="M692" i="3"/>
  <c r="L692" i="3"/>
  <c r="K692" i="3"/>
  <c r="K700" i="3" s="1"/>
  <c r="J692" i="3"/>
  <c r="I692" i="3"/>
  <c r="H692" i="3"/>
  <c r="G692" i="3"/>
  <c r="F692" i="3"/>
  <c r="E692" i="3"/>
  <c r="E700" i="3" s="1"/>
  <c r="D692" i="3"/>
  <c r="P691" i="3"/>
  <c r="P690" i="3"/>
  <c r="P689" i="3"/>
  <c r="P688" i="3"/>
  <c r="O687" i="3"/>
  <c r="N687" i="3"/>
  <c r="M687" i="3"/>
  <c r="L687" i="3"/>
  <c r="K687" i="3"/>
  <c r="J687" i="3"/>
  <c r="I687" i="3"/>
  <c r="H687" i="3"/>
  <c r="G687" i="3"/>
  <c r="F687" i="3"/>
  <c r="E687" i="3"/>
  <c r="D687" i="3"/>
  <c r="P687" i="3" s="1"/>
  <c r="O686" i="3"/>
  <c r="N686" i="3"/>
  <c r="M686" i="3"/>
  <c r="L686" i="3"/>
  <c r="K686" i="3"/>
  <c r="J686" i="3"/>
  <c r="I686" i="3"/>
  <c r="H686" i="3"/>
  <c r="G686" i="3"/>
  <c r="F686" i="3"/>
  <c r="E686" i="3"/>
  <c r="D686" i="3"/>
  <c r="O685" i="3"/>
  <c r="N685" i="3"/>
  <c r="M685" i="3"/>
  <c r="L685" i="3"/>
  <c r="K685" i="3"/>
  <c r="J685" i="3"/>
  <c r="I685" i="3"/>
  <c r="H685" i="3"/>
  <c r="G685" i="3"/>
  <c r="F685" i="3"/>
  <c r="P685" i="3" s="1"/>
  <c r="E685" i="3"/>
  <c r="D685" i="3"/>
  <c r="O684" i="3"/>
  <c r="O700" i="3" s="1"/>
  <c r="N684" i="3"/>
  <c r="N700" i="3" s="1"/>
  <c r="M684" i="3"/>
  <c r="L684" i="3"/>
  <c r="K684" i="3"/>
  <c r="J684" i="3"/>
  <c r="I684" i="3"/>
  <c r="H684" i="3"/>
  <c r="H700" i="3" s="1"/>
  <c r="G684" i="3"/>
  <c r="G700" i="3" s="1"/>
  <c r="F684" i="3"/>
  <c r="E684" i="3"/>
  <c r="D684" i="3"/>
  <c r="P683" i="3"/>
  <c r="P682" i="3"/>
  <c r="O680" i="3"/>
  <c r="N680" i="3"/>
  <c r="M680" i="3"/>
  <c r="L680" i="3"/>
  <c r="K680" i="3"/>
  <c r="J680" i="3"/>
  <c r="I680" i="3"/>
  <c r="H680" i="3"/>
  <c r="G680" i="3"/>
  <c r="F680" i="3"/>
  <c r="E680" i="3"/>
  <c r="D680" i="3"/>
  <c r="P678" i="3"/>
  <c r="P677" i="3"/>
  <c r="P676" i="3"/>
  <c r="D663" i="3"/>
  <c r="E663" i="3" s="1"/>
  <c r="F663" i="3" s="1"/>
  <c r="G663" i="3" s="1"/>
  <c r="H663" i="3" s="1"/>
  <c r="I663" i="3" s="1"/>
  <c r="J663" i="3" s="1"/>
  <c r="K663" i="3" s="1"/>
  <c r="L663" i="3" s="1"/>
  <c r="M663" i="3" s="1"/>
  <c r="N663" i="3" s="1"/>
  <c r="O663" i="3" s="1"/>
  <c r="P662" i="3"/>
  <c r="D661" i="3"/>
  <c r="P660" i="3"/>
  <c r="E659" i="3"/>
  <c r="D659" i="3"/>
  <c r="D664" i="3" s="1"/>
  <c r="D657" i="3"/>
  <c r="P656" i="3"/>
  <c r="P655" i="3"/>
  <c r="E654" i="3"/>
  <c r="F654" i="3" s="1"/>
  <c r="G654" i="3" s="1"/>
  <c r="H654" i="3" s="1"/>
  <c r="I654" i="3" s="1"/>
  <c r="D654" i="3"/>
  <c r="P653" i="3"/>
  <c r="O652" i="3"/>
  <c r="N652" i="3"/>
  <c r="M652" i="3"/>
  <c r="L652" i="3"/>
  <c r="K652" i="3"/>
  <c r="J652" i="3"/>
  <c r="I652" i="3"/>
  <c r="H652" i="3"/>
  <c r="G652" i="3"/>
  <c r="F652" i="3"/>
  <c r="E652" i="3"/>
  <c r="D652" i="3"/>
  <c r="P651" i="3"/>
  <c r="P649" i="3"/>
  <c r="P648" i="3"/>
  <c r="P647" i="3"/>
  <c r="P646" i="3"/>
  <c r="P645" i="3"/>
  <c r="O644" i="3"/>
  <c r="N644" i="3"/>
  <c r="M644" i="3"/>
  <c r="L644" i="3"/>
  <c r="K644" i="3"/>
  <c r="J644" i="3"/>
  <c r="I644" i="3"/>
  <c r="H644" i="3"/>
  <c r="G644" i="3"/>
  <c r="F644" i="3"/>
  <c r="E644" i="3"/>
  <c r="D644" i="3"/>
  <c r="P644" i="3" s="1"/>
  <c r="O643" i="3"/>
  <c r="N643" i="3"/>
  <c r="M643" i="3"/>
  <c r="L643" i="3"/>
  <c r="K643" i="3"/>
  <c r="J643" i="3"/>
  <c r="J650" i="3" s="1"/>
  <c r="I643" i="3"/>
  <c r="I650" i="3" s="1"/>
  <c r="H643" i="3"/>
  <c r="G643" i="3"/>
  <c r="F643" i="3"/>
  <c r="E643" i="3"/>
  <c r="D643" i="3"/>
  <c r="O642" i="3"/>
  <c r="N642" i="3"/>
  <c r="M642" i="3"/>
  <c r="L642" i="3"/>
  <c r="K642" i="3"/>
  <c r="J642" i="3"/>
  <c r="I642" i="3"/>
  <c r="H642" i="3"/>
  <c r="G642" i="3"/>
  <c r="G650" i="3" s="1"/>
  <c r="F642" i="3"/>
  <c r="E642" i="3"/>
  <c r="D642" i="3"/>
  <c r="P641" i="3"/>
  <c r="P640" i="3"/>
  <c r="P639" i="3"/>
  <c r="P638" i="3"/>
  <c r="O637" i="3"/>
  <c r="O650" i="3" s="1"/>
  <c r="N637" i="3"/>
  <c r="N650" i="3" s="1"/>
  <c r="M637" i="3"/>
  <c r="M650" i="3" s="1"/>
  <c r="L637" i="3"/>
  <c r="K637" i="3"/>
  <c r="J637" i="3"/>
  <c r="I637" i="3"/>
  <c r="H637" i="3"/>
  <c r="G637" i="3"/>
  <c r="F637" i="3"/>
  <c r="F650" i="3" s="1"/>
  <c r="E637" i="3"/>
  <c r="E650" i="3" s="1"/>
  <c r="D637" i="3"/>
  <c r="P636" i="3"/>
  <c r="P635" i="3"/>
  <c r="P634" i="3"/>
  <c r="P633" i="3"/>
  <c r="P632" i="3"/>
  <c r="N630" i="3"/>
  <c r="I630" i="3"/>
  <c r="H630" i="3"/>
  <c r="D630" i="3"/>
  <c r="O628" i="3"/>
  <c r="O630" i="3" s="1"/>
  <c r="N628" i="3"/>
  <c r="M628" i="3"/>
  <c r="M630" i="3" s="1"/>
  <c r="L628" i="3"/>
  <c r="L630" i="3" s="1"/>
  <c r="K628" i="3"/>
  <c r="K630" i="3" s="1"/>
  <c r="J628" i="3"/>
  <c r="J630" i="3" s="1"/>
  <c r="I628" i="3"/>
  <c r="H628" i="3"/>
  <c r="G628" i="3"/>
  <c r="G630" i="3" s="1"/>
  <c r="F628" i="3"/>
  <c r="F630" i="3" s="1"/>
  <c r="E628" i="3"/>
  <c r="D628" i="3"/>
  <c r="P627" i="3"/>
  <c r="P626" i="3"/>
  <c r="D613" i="3"/>
  <c r="E613" i="3" s="1"/>
  <c r="F613" i="3" s="1"/>
  <c r="G613" i="3" s="1"/>
  <c r="H613" i="3" s="1"/>
  <c r="I613" i="3" s="1"/>
  <c r="J613" i="3" s="1"/>
  <c r="K613" i="3" s="1"/>
  <c r="L613" i="3" s="1"/>
  <c r="M613" i="3" s="1"/>
  <c r="N613" i="3" s="1"/>
  <c r="O613" i="3" s="1"/>
  <c r="E612" i="3"/>
  <c r="F612" i="3" s="1"/>
  <c r="G612" i="3" s="1"/>
  <c r="H612" i="3" s="1"/>
  <c r="I612" i="3" s="1"/>
  <c r="J612" i="3" s="1"/>
  <c r="K612" i="3" s="1"/>
  <c r="L612" i="3" s="1"/>
  <c r="M612" i="3" s="1"/>
  <c r="N612" i="3" s="1"/>
  <c r="O612" i="3" s="1"/>
  <c r="D612" i="3"/>
  <c r="D611" i="3"/>
  <c r="E611" i="3" s="1"/>
  <c r="F611" i="3" s="1"/>
  <c r="G611" i="3" s="1"/>
  <c r="H611" i="3" s="1"/>
  <c r="I611" i="3" s="1"/>
  <c r="J611" i="3" s="1"/>
  <c r="K611" i="3" s="1"/>
  <c r="L611" i="3" s="1"/>
  <c r="M611" i="3" s="1"/>
  <c r="N611" i="3" s="1"/>
  <c r="O611" i="3" s="1"/>
  <c r="P610" i="3"/>
  <c r="D609" i="3"/>
  <c r="D614" i="3" s="1"/>
  <c r="D92" i="3" s="1"/>
  <c r="D607" i="3"/>
  <c r="E607" i="3" s="1"/>
  <c r="F607" i="3" s="1"/>
  <c r="P606" i="3"/>
  <c r="P605" i="3"/>
  <c r="D604" i="3"/>
  <c r="E604" i="3" s="1"/>
  <c r="F604" i="3" s="1"/>
  <c r="G604" i="3" s="1"/>
  <c r="H604" i="3" s="1"/>
  <c r="I604" i="3" s="1"/>
  <c r="J604" i="3" s="1"/>
  <c r="P603" i="3"/>
  <c r="O602" i="3"/>
  <c r="N602" i="3"/>
  <c r="M602" i="3"/>
  <c r="L602" i="3"/>
  <c r="K602" i="3"/>
  <c r="J602" i="3"/>
  <c r="I602" i="3"/>
  <c r="H602" i="3"/>
  <c r="G602" i="3"/>
  <c r="F602" i="3"/>
  <c r="E602" i="3"/>
  <c r="D602" i="3"/>
  <c r="D608" i="3" s="1"/>
  <c r="P601" i="3"/>
  <c r="P599" i="3"/>
  <c r="P598" i="3"/>
  <c r="P597" i="3"/>
  <c r="P596" i="3"/>
  <c r="O595" i="3"/>
  <c r="N595" i="3"/>
  <c r="M595" i="3"/>
  <c r="L595" i="3"/>
  <c r="K595" i="3"/>
  <c r="J595" i="3"/>
  <c r="I595" i="3"/>
  <c r="H595" i="3"/>
  <c r="G595" i="3"/>
  <c r="F595" i="3"/>
  <c r="E595" i="3"/>
  <c r="D595" i="3"/>
  <c r="O594" i="3"/>
  <c r="N594" i="3"/>
  <c r="M594" i="3"/>
  <c r="L594" i="3"/>
  <c r="K594" i="3"/>
  <c r="J594" i="3"/>
  <c r="I594" i="3"/>
  <c r="H594" i="3"/>
  <c r="G594" i="3"/>
  <c r="F594" i="3"/>
  <c r="E594" i="3"/>
  <c r="D594" i="3"/>
  <c r="O593" i="3"/>
  <c r="N593" i="3"/>
  <c r="M593" i="3"/>
  <c r="L593" i="3"/>
  <c r="K593" i="3"/>
  <c r="J593" i="3"/>
  <c r="I593" i="3"/>
  <c r="H593" i="3"/>
  <c r="G593" i="3"/>
  <c r="F593" i="3"/>
  <c r="E593" i="3"/>
  <c r="D593" i="3"/>
  <c r="O592" i="3"/>
  <c r="N592" i="3"/>
  <c r="M592" i="3"/>
  <c r="M600" i="3" s="1"/>
  <c r="L592" i="3"/>
  <c r="L600" i="3" s="1"/>
  <c r="K592" i="3"/>
  <c r="J592" i="3"/>
  <c r="I592" i="3"/>
  <c r="H592" i="3"/>
  <c r="G592" i="3"/>
  <c r="F592" i="3"/>
  <c r="E592" i="3"/>
  <c r="E600" i="3" s="1"/>
  <c r="D592" i="3"/>
  <c r="P591" i="3"/>
  <c r="O590" i="3"/>
  <c r="N590" i="3"/>
  <c r="M590" i="3"/>
  <c r="L590" i="3"/>
  <c r="K590" i="3"/>
  <c r="J590" i="3"/>
  <c r="I590" i="3"/>
  <c r="H590" i="3"/>
  <c r="G590" i="3"/>
  <c r="F590" i="3"/>
  <c r="E590" i="3"/>
  <c r="D590" i="3"/>
  <c r="P589" i="3"/>
  <c r="P588" i="3"/>
  <c r="O587" i="3"/>
  <c r="N587" i="3"/>
  <c r="M587" i="3"/>
  <c r="L587" i="3"/>
  <c r="K587" i="3"/>
  <c r="J587" i="3"/>
  <c r="I587" i="3"/>
  <c r="I600" i="3" s="1"/>
  <c r="H587" i="3"/>
  <c r="H600" i="3" s="1"/>
  <c r="G587" i="3"/>
  <c r="F587" i="3"/>
  <c r="E587" i="3"/>
  <c r="D587" i="3"/>
  <c r="P586" i="3"/>
  <c r="P585" i="3"/>
  <c r="P584" i="3"/>
  <c r="P583" i="3"/>
  <c r="P582" i="3"/>
  <c r="O580" i="3"/>
  <c r="N580" i="3"/>
  <c r="M580" i="3"/>
  <c r="L580" i="3"/>
  <c r="K580" i="3"/>
  <c r="J580" i="3"/>
  <c r="I580" i="3"/>
  <c r="H580" i="3"/>
  <c r="G580" i="3"/>
  <c r="F580" i="3"/>
  <c r="E580" i="3"/>
  <c r="D580" i="3"/>
  <c r="P578" i="3"/>
  <c r="P577" i="3"/>
  <c r="P576" i="3"/>
  <c r="E563" i="3"/>
  <c r="F563" i="3" s="1"/>
  <c r="D563" i="3"/>
  <c r="D562" i="3"/>
  <c r="D561" i="3"/>
  <c r="E561" i="3" s="1"/>
  <c r="F561" i="3" s="1"/>
  <c r="G561" i="3" s="1"/>
  <c r="H561" i="3" s="1"/>
  <c r="I561" i="3" s="1"/>
  <c r="J561" i="3" s="1"/>
  <c r="K561" i="3" s="1"/>
  <c r="L561" i="3" s="1"/>
  <c r="M561" i="3" s="1"/>
  <c r="N561" i="3" s="1"/>
  <c r="O561" i="3" s="1"/>
  <c r="E560" i="3"/>
  <c r="F560" i="3" s="1"/>
  <c r="G560" i="3" s="1"/>
  <c r="H560" i="3" s="1"/>
  <c r="I560" i="3" s="1"/>
  <c r="J560" i="3" s="1"/>
  <c r="K560" i="3" s="1"/>
  <c r="L560" i="3" s="1"/>
  <c r="M560" i="3" s="1"/>
  <c r="N560" i="3" s="1"/>
  <c r="O560" i="3" s="1"/>
  <c r="D560" i="3"/>
  <c r="D559" i="3"/>
  <c r="D557" i="3"/>
  <c r="E557" i="3" s="1"/>
  <c r="F557" i="3" s="1"/>
  <c r="G557" i="3" s="1"/>
  <c r="H557" i="3" s="1"/>
  <c r="I557" i="3" s="1"/>
  <c r="J557" i="3" s="1"/>
  <c r="K557" i="3" s="1"/>
  <c r="L557" i="3" s="1"/>
  <c r="M557" i="3" s="1"/>
  <c r="N557" i="3" s="1"/>
  <c r="O557" i="3" s="1"/>
  <c r="D556" i="3"/>
  <c r="P555" i="3"/>
  <c r="O554" i="3"/>
  <c r="D554" i="3"/>
  <c r="E554" i="3" s="1"/>
  <c r="F554" i="3" s="1"/>
  <c r="G554" i="3" s="1"/>
  <c r="H554" i="3" s="1"/>
  <c r="I554" i="3" s="1"/>
  <c r="J554" i="3" s="1"/>
  <c r="K554" i="3" s="1"/>
  <c r="L554" i="3" s="1"/>
  <c r="M554" i="3" s="1"/>
  <c r="N554" i="3" s="1"/>
  <c r="P553" i="3"/>
  <c r="O552" i="3"/>
  <c r="N552" i="3"/>
  <c r="M552" i="3"/>
  <c r="L552" i="3"/>
  <c r="K552" i="3"/>
  <c r="J552" i="3"/>
  <c r="I552" i="3"/>
  <c r="H552" i="3"/>
  <c r="G552" i="3"/>
  <c r="F552" i="3"/>
  <c r="E552" i="3"/>
  <c r="D552" i="3"/>
  <c r="D551" i="3"/>
  <c r="O550" i="3"/>
  <c r="P549" i="3"/>
  <c r="P548" i="3"/>
  <c r="P547" i="3"/>
  <c r="P546" i="3"/>
  <c r="O545" i="3"/>
  <c r="N545" i="3"/>
  <c r="M545" i="3"/>
  <c r="L545" i="3"/>
  <c r="K545" i="3"/>
  <c r="J545" i="3"/>
  <c r="J133" i="3" s="1"/>
  <c r="I545" i="3"/>
  <c r="H545" i="3"/>
  <c r="G545" i="3"/>
  <c r="F545" i="3"/>
  <c r="E545" i="3"/>
  <c r="D545" i="3"/>
  <c r="O544" i="3"/>
  <c r="N544" i="3"/>
  <c r="M544" i="3"/>
  <c r="L544" i="3"/>
  <c r="K544" i="3"/>
  <c r="J544" i="3"/>
  <c r="I544" i="3"/>
  <c r="H544" i="3"/>
  <c r="G544" i="3"/>
  <c r="F544" i="3"/>
  <c r="E544" i="3"/>
  <c r="D544" i="3"/>
  <c r="O543" i="3"/>
  <c r="N543" i="3"/>
  <c r="M543" i="3"/>
  <c r="L543" i="3"/>
  <c r="K543" i="3"/>
  <c r="J543" i="3"/>
  <c r="I543" i="3"/>
  <c r="H543" i="3"/>
  <c r="G543" i="3"/>
  <c r="F543" i="3"/>
  <c r="E543" i="3"/>
  <c r="D543" i="3"/>
  <c r="O542" i="3"/>
  <c r="N542" i="3"/>
  <c r="M542" i="3"/>
  <c r="L542" i="3"/>
  <c r="K542" i="3"/>
  <c r="J542" i="3"/>
  <c r="I542" i="3"/>
  <c r="I550" i="3" s="1"/>
  <c r="H542" i="3"/>
  <c r="G542" i="3"/>
  <c r="F542" i="3"/>
  <c r="E542" i="3"/>
  <c r="D542" i="3"/>
  <c r="P541" i="3"/>
  <c r="P540" i="3"/>
  <c r="P539" i="3"/>
  <c r="O538" i="3"/>
  <c r="N538" i="3"/>
  <c r="M538" i="3"/>
  <c r="L538" i="3"/>
  <c r="K538" i="3"/>
  <c r="J538" i="3"/>
  <c r="I538" i="3"/>
  <c r="H538" i="3"/>
  <c r="H550" i="3" s="1"/>
  <c r="G538" i="3"/>
  <c r="P538" i="3" s="1"/>
  <c r="F538" i="3"/>
  <c r="E538" i="3"/>
  <c r="D538" i="3"/>
  <c r="O537" i="3"/>
  <c r="N537" i="3"/>
  <c r="M537" i="3"/>
  <c r="L537" i="3"/>
  <c r="L550" i="3" s="1"/>
  <c r="K537" i="3"/>
  <c r="K550" i="3" s="1"/>
  <c r="J537" i="3"/>
  <c r="I537" i="3"/>
  <c r="H537" i="3"/>
  <c r="G537" i="3"/>
  <c r="F537" i="3"/>
  <c r="E537" i="3"/>
  <c r="D537" i="3"/>
  <c r="P536" i="3"/>
  <c r="P535" i="3"/>
  <c r="P534" i="3"/>
  <c r="P533" i="3"/>
  <c r="P532" i="3"/>
  <c r="P530" i="3"/>
  <c r="O530" i="3"/>
  <c r="N530" i="3"/>
  <c r="M530" i="3"/>
  <c r="L530" i="3"/>
  <c r="K530" i="3"/>
  <c r="J530" i="3"/>
  <c r="I530" i="3"/>
  <c r="H530" i="3"/>
  <c r="G530" i="3"/>
  <c r="F530" i="3"/>
  <c r="E530" i="3"/>
  <c r="D530" i="3"/>
  <c r="P528" i="3"/>
  <c r="P527" i="3"/>
  <c r="P526" i="3"/>
  <c r="E514" i="3"/>
  <c r="F514" i="3" s="1"/>
  <c r="G514" i="3" s="1"/>
  <c r="H514" i="3" s="1"/>
  <c r="I514" i="3" s="1"/>
  <c r="J514" i="3" s="1"/>
  <c r="K514" i="3" s="1"/>
  <c r="L514" i="3" s="1"/>
  <c r="M514" i="3" s="1"/>
  <c r="N514" i="3" s="1"/>
  <c r="O514" i="3" s="1"/>
  <c r="D514" i="3"/>
  <c r="D513" i="3"/>
  <c r="D512" i="3"/>
  <c r="E512" i="3" s="1"/>
  <c r="F512" i="3" s="1"/>
  <c r="G512" i="3" s="1"/>
  <c r="H512" i="3" s="1"/>
  <c r="I512" i="3" s="1"/>
  <c r="J512" i="3" s="1"/>
  <c r="K512" i="3" s="1"/>
  <c r="L512" i="3" s="1"/>
  <c r="M512" i="3" s="1"/>
  <c r="N512" i="3" s="1"/>
  <c r="O512" i="3" s="1"/>
  <c r="D511" i="3"/>
  <c r="E511" i="3" s="1"/>
  <c r="F511" i="3" s="1"/>
  <c r="G511" i="3" s="1"/>
  <c r="H511" i="3" s="1"/>
  <c r="I511" i="3" s="1"/>
  <c r="J511" i="3" s="1"/>
  <c r="K511" i="3" s="1"/>
  <c r="L511" i="3" s="1"/>
  <c r="M511" i="3" s="1"/>
  <c r="N511" i="3" s="1"/>
  <c r="O511" i="3" s="1"/>
  <c r="D510" i="3"/>
  <c r="E508" i="3"/>
  <c r="F508" i="3" s="1"/>
  <c r="G508" i="3" s="1"/>
  <c r="H508" i="3" s="1"/>
  <c r="I508" i="3" s="1"/>
  <c r="J508" i="3" s="1"/>
  <c r="K508" i="3" s="1"/>
  <c r="L508" i="3" s="1"/>
  <c r="M508" i="3" s="1"/>
  <c r="N508" i="3" s="1"/>
  <c r="O508" i="3" s="1"/>
  <c r="D508" i="3"/>
  <c r="D507" i="3"/>
  <c r="E507" i="3" s="1"/>
  <c r="F507" i="3" s="1"/>
  <c r="G507" i="3" s="1"/>
  <c r="H507" i="3" s="1"/>
  <c r="I507" i="3" s="1"/>
  <c r="J507" i="3" s="1"/>
  <c r="K507" i="3" s="1"/>
  <c r="L507" i="3" s="1"/>
  <c r="M507" i="3" s="1"/>
  <c r="N507" i="3" s="1"/>
  <c r="O507" i="3" s="1"/>
  <c r="P506" i="3"/>
  <c r="E505" i="3"/>
  <c r="F505" i="3" s="1"/>
  <c r="D505" i="3"/>
  <c r="P504" i="3"/>
  <c r="O503" i="3"/>
  <c r="N503" i="3"/>
  <c r="M503" i="3"/>
  <c r="L503" i="3"/>
  <c r="K503" i="3"/>
  <c r="J503" i="3"/>
  <c r="I503" i="3"/>
  <c r="H503" i="3"/>
  <c r="G503" i="3"/>
  <c r="F503" i="3"/>
  <c r="E503" i="3"/>
  <c r="D503" i="3"/>
  <c r="D502" i="3"/>
  <c r="I501" i="3"/>
  <c r="P500" i="3"/>
  <c r="P499" i="3"/>
  <c r="P498" i="3"/>
  <c r="P497" i="3"/>
  <c r="P496" i="3"/>
  <c r="O495" i="3"/>
  <c r="O132" i="3" s="1"/>
  <c r="N495" i="3"/>
  <c r="M495" i="3"/>
  <c r="L495" i="3"/>
  <c r="K495" i="3"/>
  <c r="J495" i="3"/>
  <c r="J132" i="3" s="1"/>
  <c r="I495" i="3"/>
  <c r="H495" i="3"/>
  <c r="G495" i="3"/>
  <c r="G132" i="3" s="1"/>
  <c r="F495" i="3"/>
  <c r="E495" i="3"/>
  <c r="D495" i="3"/>
  <c r="O494" i="3"/>
  <c r="N494" i="3"/>
  <c r="N131" i="3" s="1"/>
  <c r="M494" i="3"/>
  <c r="L494" i="3"/>
  <c r="K494" i="3"/>
  <c r="K131" i="3" s="1"/>
  <c r="J494" i="3"/>
  <c r="I494" i="3"/>
  <c r="H494" i="3"/>
  <c r="G494" i="3"/>
  <c r="F494" i="3"/>
  <c r="E494" i="3"/>
  <c r="D494" i="3"/>
  <c r="O493" i="3"/>
  <c r="O130" i="3" s="1"/>
  <c r="N493" i="3"/>
  <c r="M493" i="3"/>
  <c r="L493" i="3"/>
  <c r="K493" i="3"/>
  <c r="J493" i="3"/>
  <c r="J130" i="3" s="1"/>
  <c r="I493" i="3"/>
  <c r="H493" i="3"/>
  <c r="G493" i="3"/>
  <c r="G501" i="3" s="1"/>
  <c r="F493" i="3"/>
  <c r="F501" i="3" s="1"/>
  <c r="E493" i="3"/>
  <c r="D493" i="3"/>
  <c r="P492" i="3"/>
  <c r="P491" i="3"/>
  <c r="P490" i="3"/>
  <c r="O489" i="3"/>
  <c r="N489" i="3"/>
  <c r="M489" i="3"/>
  <c r="M501" i="3" s="1"/>
  <c r="L489" i="3"/>
  <c r="K489" i="3"/>
  <c r="J489" i="3"/>
  <c r="I489" i="3"/>
  <c r="H489" i="3"/>
  <c r="G489" i="3"/>
  <c r="F489" i="3"/>
  <c r="E489" i="3"/>
  <c r="D489" i="3"/>
  <c r="O488" i="3"/>
  <c r="N488" i="3"/>
  <c r="M488" i="3"/>
  <c r="L488" i="3"/>
  <c r="K488" i="3"/>
  <c r="J488" i="3"/>
  <c r="I488" i="3"/>
  <c r="H488" i="3"/>
  <c r="G488" i="3"/>
  <c r="F488" i="3"/>
  <c r="E488" i="3"/>
  <c r="E501" i="3" s="1"/>
  <c r="D488" i="3"/>
  <c r="P487" i="3"/>
  <c r="P486" i="3"/>
  <c r="P485" i="3"/>
  <c r="P484" i="3"/>
  <c r="P483" i="3"/>
  <c r="O481" i="3"/>
  <c r="N481" i="3"/>
  <c r="M481" i="3"/>
  <c r="L481" i="3"/>
  <c r="K481" i="3"/>
  <c r="J481" i="3"/>
  <c r="I481" i="3"/>
  <c r="H481" i="3"/>
  <c r="G481" i="3"/>
  <c r="F481" i="3"/>
  <c r="E481" i="3"/>
  <c r="D481" i="3"/>
  <c r="P479" i="3"/>
  <c r="P478" i="3"/>
  <c r="P477" i="3"/>
  <c r="P481" i="3" s="1"/>
  <c r="D465" i="3"/>
  <c r="E465" i="3" s="1"/>
  <c r="F465" i="3" s="1"/>
  <c r="G465" i="3" s="1"/>
  <c r="H465" i="3" s="1"/>
  <c r="I465" i="3" s="1"/>
  <c r="J465" i="3" s="1"/>
  <c r="K465" i="3" s="1"/>
  <c r="L465" i="3" s="1"/>
  <c r="M465" i="3" s="1"/>
  <c r="N465" i="3" s="1"/>
  <c r="O465" i="3" s="1"/>
  <c r="P464" i="3"/>
  <c r="P463" i="3"/>
  <c r="D462" i="3"/>
  <c r="P461" i="3"/>
  <c r="P459" i="3"/>
  <c r="D458" i="3"/>
  <c r="E458" i="3" s="1"/>
  <c r="F458" i="3" s="1"/>
  <c r="G458" i="3" s="1"/>
  <c r="H458" i="3" s="1"/>
  <c r="I458" i="3" s="1"/>
  <c r="J458" i="3" s="1"/>
  <c r="K458" i="3" s="1"/>
  <c r="L458" i="3" s="1"/>
  <c r="M458" i="3" s="1"/>
  <c r="N458" i="3" s="1"/>
  <c r="O458" i="3" s="1"/>
  <c r="P457" i="3"/>
  <c r="P456" i="3"/>
  <c r="P455" i="3"/>
  <c r="O454" i="3"/>
  <c r="N454" i="3"/>
  <c r="M454" i="3"/>
  <c r="L454" i="3"/>
  <c r="K454" i="3"/>
  <c r="J454" i="3"/>
  <c r="I454" i="3"/>
  <c r="H454" i="3"/>
  <c r="G454" i="3"/>
  <c r="F454" i="3"/>
  <c r="E454" i="3"/>
  <c r="D454" i="3"/>
  <c r="E453" i="3"/>
  <c r="D453" i="3"/>
  <c r="P451" i="3"/>
  <c r="P450" i="3"/>
  <c r="P449" i="3"/>
  <c r="P448" i="3"/>
  <c r="P447" i="3"/>
  <c r="O446" i="3"/>
  <c r="N446" i="3"/>
  <c r="M446" i="3"/>
  <c r="L446" i="3"/>
  <c r="K446" i="3"/>
  <c r="J446" i="3"/>
  <c r="I446" i="3"/>
  <c r="H446" i="3"/>
  <c r="H132" i="3" s="1"/>
  <c r="G446" i="3"/>
  <c r="F446" i="3"/>
  <c r="E446" i="3"/>
  <c r="D446" i="3"/>
  <c r="O445" i="3"/>
  <c r="N445" i="3"/>
  <c r="M445" i="3"/>
  <c r="L445" i="3"/>
  <c r="L131" i="3" s="1"/>
  <c r="K445" i="3"/>
  <c r="J445" i="3"/>
  <c r="I445" i="3"/>
  <c r="I131" i="3" s="1"/>
  <c r="H445" i="3"/>
  <c r="G445" i="3"/>
  <c r="F445" i="3"/>
  <c r="E445" i="3"/>
  <c r="D445" i="3"/>
  <c r="D131" i="3" s="1"/>
  <c r="O444" i="3"/>
  <c r="N444" i="3"/>
  <c r="M444" i="3"/>
  <c r="M452" i="3" s="1"/>
  <c r="L444" i="3"/>
  <c r="K444" i="3"/>
  <c r="J444" i="3"/>
  <c r="I444" i="3"/>
  <c r="H444" i="3"/>
  <c r="G444" i="3"/>
  <c r="F444" i="3"/>
  <c r="E444" i="3"/>
  <c r="E452" i="3" s="1"/>
  <c r="D444" i="3"/>
  <c r="P443" i="3"/>
  <c r="P442" i="3"/>
  <c r="P441" i="3"/>
  <c r="O440" i="3"/>
  <c r="N440" i="3"/>
  <c r="M440" i="3"/>
  <c r="L440" i="3"/>
  <c r="K440" i="3"/>
  <c r="J440" i="3"/>
  <c r="I440" i="3"/>
  <c r="H440" i="3"/>
  <c r="G440" i="3"/>
  <c r="F440" i="3"/>
  <c r="E440" i="3"/>
  <c r="D440" i="3"/>
  <c r="O439" i="3"/>
  <c r="N439" i="3"/>
  <c r="N452" i="3" s="1"/>
  <c r="M439" i="3"/>
  <c r="L439" i="3"/>
  <c r="K439" i="3"/>
  <c r="K452" i="3" s="1"/>
  <c r="J439" i="3"/>
  <c r="I439" i="3"/>
  <c r="H439" i="3"/>
  <c r="H452" i="3" s="1"/>
  <c r="G439" i="3"/>
  <c r="F439" i="3"/>
  <c r="F452" i="3" s="1"/>
  <c r="E439" i="3"/>
  <c r="D439" i="3"/>
  <c r="P438" i="3"/>
  <c r="P437" i="3"/>
  <c r="P436" i="3"/>
  <c r="P435" i="3"/>
  <c r="P434" i="3"/>
  <c r="J432" i="3"/>
  <c r="D432" i="3"/>
  <c r="P430" i="3"/>
  <c r="O429" i="3"/>
  <c r="O432" i="3" s="1"/>
  <c r="N429" i="3"/>
  <c r="N432" i="3" s="1"/>
  <c r="M429" i="3"/>
  <c r="M432" i="3" s="1"/>
  <c r="L429" i="3"/>
  <c r="L432" i="3" s="1"/>
  <c r="K429" i="3"/>
  <c r="K432" i="3" s="1"/>
  <c r="J429" i="3"/>
  <c r="I429" i="3"/>
  <c r="I432" i="3" s="1"/>
  <c r="H429" i="3"/>
  <c r="H432" i="3" s="1"/>
  <c r="G429" i="3"/>
  <c r="G432" i="3" s="1"/>
  <c r="F429" i="3"/>
  <c r="E429" i="3"/>
  <c r="E432" i="3" s="1"/>
  <c r="D429" i="3"/>
  <c r="D115" i="3" s="1"/>
  <c r="P428" i="3"/>
  <c r="D416" i="3"/>
  <c r="D151" i="3" s="1"/>
  <c r="P415" i="3"/>
  <c r="P414" i="3"/>
  <c r="D413" i="3"/>
  <c r="P412" i="3"/>
  <c r="P410" i="3"/>
  <c r="D409" i="3"/>
  <c r="D144" i="3" s="1"/>
  <c r="P408" i="3"/>
  <c r="P407" i="3"/>
  <c r="P406" i="3"/>
  <c r="O405" i="3"/>
  <c r="N405" i="3"/>
  <c r="M405" i="3"/>
  <c r="L405" i="3"/>
  <c r="K405" i="3"/>
  <c r="K140" i="3" s="1"/>
  <c r="J405" i="3"/>
  <c r="I405" i="3"/>
  <c r="H405" i="3"/>
  <c r="G405" i="3"/>
  <c r="F405" i="3"/>
  <c r="E405" i="3"/>
  <c r="D405" i="3"/>
  <c r="E404" i="3"/>
  <c r="D404" i="3"/>
  <c r="P402" i="3"/>
  <c r="P401" i="3"/>
  <c r="P400" i="3"/>
  <c r="P399" i="3"/>
  <c r="P398" i="3"/>
  <c r="O397" i="3"/>
  <c r="N397" i="3"/>
  <c r="M397" i="3"/>
  <c r="L397" i="3"/>
  <c r="K397" i="3"/>
  <c r="J397" i="3"/>
  <c r="I397" i="3"/>
  <c r="H397" i="3"/>
  <c r="G397" i="3"/>
  <c r="F397" i="3"/>
  <c r="E397" i="3"/>
  <c r="D397" i="3"/>
  <c r="O396" i="3"/>
  <c r="O403" i="3" s="1"/>
  <c r="N396" i="3"/>
  <c r="M396" i="3"/>
  <c r="L396" i="3"/>
  <c r="K396" i="3"/>
  <c r="J396" i="3"/>
  <c r="I396" i="3"/>
  <c r="H396" i="3"/>
  <c r="G396" i="3"/>
  <c r="G403" i="3" s="1"/>
  <c r="F396" i="3"/>
  <c r="E396" i="3"/>
  <c r="D396" i="3"/>
  <c r="O395" i="3"/>
  <c r="N395" i="3"/>
  <c r="M395" i="3"/>
  <c r="M403" i="3" s="1"/>
  <c r="L395" i="3"/>
  <c r="K395" i="3"/>
  <c r="J395" i="3"/>
  <c r="J403" i="3" s="1"/>
  <c r="I395" i="3"/>
  <c r="H395" i="3"/>
  <c r="H403" i="3" s="1"/>
  <c r="G395" i="3"/>
  <c r="F395" i="3"/>
  <c r="E395" i="3"/>
  <c r="E403" i="3" s="1"/>
  <c r="D395" i="3"/>
  <c r="P394" i="3"/>
  <c r="P393" i="3"/>
  <c r="P392" i="3"/>
  <c r="O391" i="3"/>
  <c r="N391" i="3"/>
  <c r="M391" i="3"/>
  <c r="L391" i="3"/>
  <c r="L403" i="3" s="1"/>
  <c r="K391" i="3"/>
  <c r="J391" i="3"/>
  <c r="I391" i="3"/>
  <c r="H391" i="3"/>
  <c r="G391" i="3"/>
  <c r="F391" i="3"/>
  <c r="E391" i="3"/>
  <c r="D391" i="3"/>
  <c r="P390" i="3"/>
  <c r="P389" i="3"/>
  <c r="P388" i="3"/>
  <c r="P387" i="3"/>
  <c r="P386" i="3"/>
  <c r="P385" i="3"/>
  <c r="P383" i="3"/>
  <c r="O383" i="3"/>
  <c r="N383" i="3"/>
  <c r="M383" i="3"/>
  <c r="L383" i="3"/>
  <c r="K383" i="3"/>
  <c r="J383" i="3"/>
  <c r="I383" i="3"/>
  <c r="H383" i="3"/>
  <c r="G383" i="3"/>
  <c r="F383" i="3"/>
  <c r="E383" i="3"/>
  <c r="D383" i="3"/>
  <c r="P381" i="3"/>
  <c r="P380" i="3"/>
  <c r="P379" i="3"/>
  <c r="E367" i="3"/>
  <c r="D367" i="3"/>
  <c r="E366" i="3"/>
  <c r="F366" i="3" s="1"/>
  <c r="G366" i="3" s="1"/>
  <c r="H366" i="3" s="1"/>
  <c r="D366" i="3"/>
  <c r="D365" i="3"/>
  <c r="E365" i="3" s="1"/>
  <c r="F365" i="3" s="1"/>
  <c r="G365" i="3" s="1"/>
  <c r="H365" i="3" s="1"/>
  <c r="I365" i="3" s="1"/>
  <c r="J365" i="3" s="1"/>
  <c r="K365" i="3" s="1"/>
  <c r="L365" i="3" s="1"/>
  <c r="M365" i="3" s="1"/>
  <c r="N365" i="3" s="1"/>
  <c r="O365" i="3" s="1"/>
  <c r="G364" i="3"/>
  <c r="H364" i="3" s="1"/>
  <c r="I364" i="3" s="1"/>
  <c r="J364" i="3" s="1"/>
  <c r="K364" i="3" s="1"/>
  <c r="L364" i="3" s="1"/>
  <c r="M364" i="3" s="1"/>
  <c r="N364" i="3" s="1"/>
  <c r="O364" i="3" s="1"/>
  <c r="E364" i="3"/>
  <c r="F364" i="3" s="1"/>
  <c r="D364" i="3"/>
  <c r="D363" i="3"/>
  <c r="D147" i="3" s="1"/>
  <c r="D361" i="3"/>
  <c r="D360" i="3"/>
  <c r="E360" i="3" s="1"/>
  <c r="F360" i="3" s="1"/>
  <c r="G360" i="3" s="1"/>
  <c r="H360" i="3" s="1"/>
  <c r="I360" i="3" s="1"/>
  <c r="J360" i="3" s="1"/>
  <c r="K360" i="3" s="1"/>
  <c r="L360" i="3" s="1"/>
  <c r="M360" i="3" s="1"/>
  <c r="N360" i="3" s="1"/>
  <c r="O360" i="3" s="1"/>
  <c r="P359" i="3"/>
  <c r="D358" i="3"/>
  <c r="P357" i="3"/>
  <c r="O356" i="3"/>
  <c r="N356" i="3"/>
  <c r="N140" i="3" s="1"/>
  <c r="M356" i="3"/>
  <c r="L356" i="3"/>
  <c r="K356" i="3"/>
  <c r="J356" i="3"/>
  <c r="I356" i="3"/>
  <c r="H356" i="3"/>
  <c r="G356" i="3"/>
  <c r="F356" i="3"/>
  <c r="E356" i="3"/>
  <c r="D356" i="3"/>
  <c r="D355" i="3"/>
  <c r="O354" i="3"/>
  <c r="P353" i="3"/>
  <c r="P352" i="3"/>
  <c r="P351" i="3"/>
  <c r="P350" i="3"/>
  <c r="P349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P345" i="3"/>
  <c r="P344" i="3"/>
  <c r="P343" i="3"/>
  <c r="O342" i="3"/>
  <c r="N342" i="3"/>
  <c r="M342" i="3"/>
  <c r="L342" i="3"/>
  <c r="K342" i="3"/>
  <c r="J342" i="3"/>
  <c r="I342" i="3"/>
  <c r="H342" i="3"/>
  <c r="G342" i="3"/>
  <c r="F342" i="3"/>
  <c r="E342" i="3"/>
  <c r="P342" i="3" s="1"/>
  <c r="D342" i="3"/>
  <c r="O341" i="3"/>
  <c r="N341" i="3"/>
  <c r="M341" i="3"/>
  <c r="L341" i="3"/>
  <c r="K341" i="3"/>
  <c r="J341" i="3"/>
  <c r="I341" i="3"/>
  <c r="H341" i="3"/>
  <c r="P341" i="3" s="1"/>
  <c r="G341" i="3"/>
  <c r="F341" i="3"/>
  <c r="E341" i="3"/>
  <c r="D341" i="3"/>
  <c r="P340" i="3"/>
  <c r="P339" i="3"/>
  <c r="O338" i="3"/>
  <c r="N338" i="3"/>
  <c r="N354" i="3" s="1"/>
  <c r="M338" i="3"/>
  <c r="L338" i="3"/>
  <c r="K338" i="3"/>
  <c r="J338" i="3"/>
  <c r="I338" i="3"/>
  <c r="H338" i="3"/>
  <c r="G338" i="3"/>
  <c r="G354" i="3" s="1"/>
  <c r="F338" i="3"/>
  <c r="E338" i="3"/>
  <c r="D338" i="3"/>
  <c r="O337" i="3"/>
  <c r="N337" i="3"/>
  <c r="M337" i="3"/>
  <c r="L337" i="3"/>
  <c r="K337" i="3"/>
  <c r="J337" i="3"/>
  <c r="J354" i="3" s="1"/>
  <c r="I337" i="3"/>
  <c r="H337" i="3"/>
  <c r="G337" i="3"/>
  <c r="F337" i="3"/>
  <c r="E337" i="3"/>
  <c r="D337" i="3"/>
  <c r="P337" i="3" s="1"/>
  <c r="P336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P332" i="3"/>
  <c r="P331" i="3"/>
  <c r="P330" i="3"/>
  <c r="P334" i="3" s="1"/>
  <c r="D318" i="3"/>
  <c r="E318" i="3" s="1"/>
  <c r="D317" i="3"/>
  <c r="E317" i="3" s="1"/>
  <c r="F317" i="3" s="1"/>
  <c r="G317" i="3" s="1"/>
  <c r="H317" i="3" s="1"/>
  <c r="I317" i="3" s="1"/>
  <c r="J317" i="3" s="1"/>
  <c r="E316" i="3"/>
  <c r="D316" i="3"/>
  <c r="D315" i="3"/>
  <c r="D314" i="3"/>
  <c r="D312" i="3"/>
  <c r="F311" i="3"/>
  <c r="G311" i="3" s="1"/>
  <c r="H311" i="3" s="1"/>
  <c r="I311" i="3" s="1"/>
  <c r="J311" i="3" s="1"/>
  <c r="K311" i="3" s="1"/>
  <c r="L311" i="3" s="1"/>
  <c r="M311" i="3" s="1"/>
  <c r="N311" i="3" s="1"/>
  <c r="O311" i="3" s="1"/>
  <c r="D311" i="3"/>
  <c r="E311" i="3" s="1"/>
  <c r="P310" i="3"/>
  <c r="D309" i="3"/>
  <c r="D142" i="3" s="1"/>
  <c r="P308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D140" i="3" s="1"/>
  <c r="D306" i="3"/>
  <c r="L305" i="3"/>
  <c r="O304" i="3"/>
  <c r="N304" i="3"/>
  <c r="M304" i="3"/>
  <c r="L304" i="3"/>
  <c r="L137" i="3" s="1"/>
  <c r="K304" i="3"/>
  <c r="J304" i="3"/>
  <c r="I304" i="3"/>
  <c r="I137" i="3" s="1"/>
  <c r="H304" i="3"/>
  <c r="G304" i="3"/>
  <c r="F304" i="3"/>
  <c r="E304" i="3"/>
  <c r="D304" i="3"/>
  <c r="D137" i="3" s="1"/>
  <c r="P303" i="3"/>
  <c r="P302" i="3"/>
  <c r="P301" i="3"/>
  <c r="P300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D132" i="3" s="1"/>
  <c r="O298" i="3"/>
  <c r="N298" i="3"/>
  <c r="M298" i="3"/>
  <c r="L298" i="3"/>
  <c r="K298" i="3"/>
  <c r="J298" i="3"/>
  <c r="I298" i="3"/>
  <c r="H298" i="3"/>
  <c r="H131" i="3" s="1"/>
  <c r="G298" i="3"/>
  <c r="F298" i="3"/>
  <c r="E298" i="3"/>
  <c r="E131" i="3" s="1"/>
  <c r="D298" i="3"/>
  <c r="O297" i="3"/>
  <c r="O305" i="3" s="1"/>
  <c r="N297" i="3"/>
  <c r="M297" i="3"/>
  <c r="L297" i="3"/>
  <c r="L130" i="3" s="1"/>
  <c r="K297" i="3"/>
  <c r="J297" i="3"/>
  <c r="I297" i="3"/>
  <c r="I305" i="3" s="1"/>
  <c r="H297" i="3"/>
  <c r="G297" i="3"/>
  <c r="F297" i="3"/>
  <c r="E297" i="3"/>
  <c r="D297" i="3"/>
  <c r="D130" i="3" s="1"/>
  <c r="P296" i="3"/>
  <c r="P295" i="3"/>
  <c r="P294" i="3"/>
  <c r="O293" i="3"/>
  <c r="N293" i="3"/>
  <c r="M293" i="3"/>
  <c r="L293" i="3"/>
  <c r="K293" i="3"/>
  <c r="K126" i="3" s="1"/>
  <c r="J293" i="3"/>
  <c r="I293" i="3"/>
  <c r="H293" i="3"/>
  <c r="G293" i="3"/>
  <c r="F293" i="3"/>
  <c r="E293" i="3"/>
  <c r="P293" i="3" s="1"/>
  <c r="D293" i="3"/>
  <c r="O292" i="3"/>
  <c r="N292" i="3"/>
  <c r="M292" i="3"/>
  <c r="L292" i="3"/>
  <c r="K292" i="3"/>
  <c r="J292" i="3"/>
  <c r="J125" i="3" s="1"/>
  <c r="I292" i="3"/>
  <c r="H292" i="3"/>
  <c r="H125" i="3" s="1"/>
  <c r="G292" i="3"/>
  <c r="F292" i="3"/>
  <c r="E292" i="3"/>
  <c r="D292" i="3"/>
  <c r="P291" i="3"/>
  <c r="P290" i="3"/>
  <c r="P289" i="3"/>
  <c r="P288" i="3"/>
  <c r="O287" i="3"/>
  <c r="N287" i="3"/>
  <c r="M287" i="3"/>
  <c r="L287" i="3"/>
  <c r="K287" i="3"/>
  <c r="J287" i="3"/>
  <c r="I287" i="3"/>
  <c r="H287" i="3"/>
  <c r="G287" i="3"/>
  <c r="G305" i="3" s="1"/>
  <c r="F287" i="3"/>
  <c r="F305" i="3" s="1"/>
  <c r="E287" i="3"/>
  <c r="D287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P283" i="3"/>
  <c r="P282" i="3"/>
  <c r="P281" i="3"/>
  <c r="D269" i="3"/>
  <c r="E269" i="3" s="1"/>
  <c r="F269" i="3" s="1"/>
  <c r="D268" i="3"/>
  <c r="E268" i="3" s="1"/>
  <c r="D267" i="3"/>
  <c r="D266" i="3"/>
  <c r="D265" i="3"/>
  <c r="D263" i="3"/>
  <c r="E263" i="3" s="1"/>
  <c r="D262" i="3"/>
  <c r="E262" i="3" s="1"/>
  <c r="F262" i="3" s="1"/>
  <c r="G262" i="3" s="1"/>
  <c r="H262" i="3" s="1"/>
  <c r="I262" i="3" s="1"/>
  <c r="P261" i="3"/>
  <c r="D260" i="3"/>
  <c r="E260" i="3" s="1"/>
  <c r="F260" i="3" s="1"/>
  <c r="P259" i="3"/>
  <c r="O258" i="3"/>
  <c r="N258" i="3"/>
  <c r="M258" i="3"/>
  <c r="L258" i="3"/>
  <c r="K258" i="3"/>
  <c r="J258" i="3"/>
  <c r="I258" i="3"/>
  <c r="H258" i="3"/>
  <c r="H140" i="3" s="1"/>
  <c r="G258" i="3"/>
  <c r="F258" i="3"/>
  <c r="E258" i="3"/>
  <c r="D258" i="3"/>
  <c r="D257" i="3"/>
  <c r="H256" i="3"/>
  <c r="P255" i="3"/>
  <c r="P254" i="3"/>
  <c r="P253" i="3"/>
  <c r="P252" i="3"/>
  <c r="P251" i="3"/>
  <c r="O250" i="3"/>
  <c r="N250" i="3"/>
  <c r="N132" i="3" s="1"/>
  <c r="M250" i="3"/>
  <c r="L250" i="3"/>
  <c r="K250" i="3"/>
  <c r="K132" i="3" s="1"/>
  <c r="J250" i="3"/>
  <c r="I250" i="3"/>
  <c r="H250" i="3"/>
  <c r="G250" i="3"/>
  <c r="F250" i="3"/>
  <c r="F132" i="3" s="1"/>
  <c r="E250" i="3"/>
  <c r="D250" i="3"/>
  <c r="O249" i="3"/>
  <c r="O131" i="3" s="1"/>
  <c r="N249" i="3"/>
  <c r="M249" i="3"/>
  <c r="L249" i="3"/>
  <c r="K249" i="3"/>
  <c r="J249" i="3"/>
  <c r="J131" i="3" s="1"/>
  <c r="I249" i="3"/>
  <c r="H249" i="3"/>
  <c r="G249" i="3"/>
  <c r="G131" i="3" s="1"/>
  <c r="F249" i="3"/>
  <c r="E249" i="3"/>
  <c r="D249" i="3"/>
  <c r="O248" i="3"/>
  <c r="N248" i="3"/>
  <c r="N256" i="3" s="1"/>
  <c r="M248" i="3"/>
  <c r="L248" i="3"/>
  <c r="K248" i="3"/>
  <c r="K256" i="3" s="1"/>
  <c r="J248" i="3"/>
  <c r="I248" i="3"/>
  <c r="H248" i="3"/>
  <c r="G248" i="3"/>
  <c r="F248" i="3"/>
  <c r="F256" i="3" s="1"/>
  <c r="E248" i="3"/>
  <c r="D248" i="3"/>
  <c r="P247" i="3"/>
  <c r="P246" i="3"/>
  <c r="P245" i="3"/>
  <c r="O244" i="3"/>
  <c r="O126" i="3" s="1"/>
  <c r="N244" i="3"/>
  <c r="M244" i="3"/>
  <c r="M126" i="3" s="1"/>
  <c r="L244" i="3"/>
  <c r="K244" i="3"/>
  <c r="J244" i="3"/>
  <c r="I244" i="3"/>
  <c r="H244" i="3"/>
  <c r="G244" i="3"/>
  <c r="G126" i="3" s="1"/>
  <c r="F244" i="3"/>
  <c r="E244" i="3"/>
  <c r="E126" i="3" s="1"/>
  <c r="D244" i="3"/>
  <c r="O243" i="3"/>
  <c r="N243" i="3"/>
  <c r="M243" i="3"/>
  <c r="L243" i="3"/>
  <c r="L256" i="3" s="1"/>
  <c r="K243" i="3"/>
  <c r="J243" i="3"/>
  <c r="I243" i="3"/>
  <c r="H243" i="3"/>
  <c r="G243" i="3"/>
  <c r="F243" i="3"/>
  <c r="E243" i="3"/>
  <c r="D243" i="3"/>
  <c r="P242" i="3"/>
  <c r="P241" i="3"/>
  <c r="P240" i="3"/>
  <c r="P239" i="3"/>
  <c r="P238" i="3"/>
  <c r="N236" i="3"/>
  <c r="P234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P233" i="3" s="1"/>
  <c r="O232" i="3"/>
  <c r="N232" i="3"/>
  <c r="M232" i="3"/>
  <c r="M236" i="3" s="1"/>
  <c r="L232" i="3"/>
  <c r="L236" i="3" s="1"/>
  <c r="K232" i="3"/>
  <c r="K236" i="3" s="1"/>
  <c r="J232" i="3"/>
  <c r="J236" i="3" s="1"/>
  <c r="I232" i="3"/>
  <c r="H232" i="3"/>
  <c r="H236" i="3" s="1"/>
  <c r="G232" i="3"/>
  <c r="F232" i="3"/>
  <c r="F236" i="3" s="1"/>
  <c r="E232" i="3"/>
  <c r="E236" i="3" s="1"/>
  <c r="D232" i="3"/>
  <c r="R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P221" i="3"/>
  <c r="H221" i="3"/>
  <c r="P220" i="3"/>
  <c r="P219" i="3"/>
  <c r="P222" i="3" s="1"/>
  <c r="P218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R209" i="3"/>
  <c r="Q209" i="3"/>
  <c r="P209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Q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Q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Q204" i="3"/>
  <c r="D204" i="3"/>
  <c r="E204" i="3" s="1"/>
  <c r="F204" i="3" s="1"/>
  <c r="G204" i="3" s="1"/>
  <c r="H204" i="3" s="1"/>
  <c r="I204" i="3" s="1"/>
  <c r="J204" i="3" s="1"/>
  <c r="K204" i="3" s="1"/>
  <c r="L204" i="3" s="1"/>
  <c r="M204" i="3" s="1"/>
  <c r="N204" i="3" s="1"/>
  <c r="O204" i="3" s="1"/>
  <c r="Q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Q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Q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Q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Q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Q198" i="3"/>
  <c r="O198" i="3"/>
  <c r="N198" i="3"/>
  <c r="M198" i="3"/>
  <c r="L198" i="3"/>
  <c r="K198" i="3"/>
  <c r="J198" i="3"/>
  <c r="I198" i="3"/>
  <c r="H198" i="3"/>
  <c r="G198" i="3"/>
  <c r="P198" i="3" s="1"/>
  <c r="R198" i="3" s="1"/>
  <c r="F198" i="3"/>
  <c r="E198" i="3"/>
  <c r="D198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Q196" i="3"/>
  <c r="D196" i="3"/>
  <c r="E196" i="3" s="1"/>
  <c r="F196" i="3" s="1"/>
  <c r="G196" i="3" s="1"/>
  <c r="H196" i="3" s="1"/>
  <c r="I196" i="3" s="1"/>
  <c r="J196" i="3" s="1"/>
  <c r="K196" i="3" s="1"/>
  <c r="L196" i="3" s="1"/>
  <c r="M196" i="3" s="1"/>
  <c r="N196" i="3" s="1"/>
  <c r="O196" i="3" s="1"/>
  <c r="Q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Q194" i="3"/>
  <c r="O194" i="3"/>
  <c r="N194" i="3"/>
  <c r="M194" i="3"/>
  <c r="L194" i="3"/>
  <c r="K194" i="3"/>
  <c r="J194" i="3"/>
  <c r="I194" i="3"/>
  <c r="H194" i="3"/>
  <c r="P194" i="3" s="1"/>
  <c r="G194" i="3"/>
  <c r="F194" i="3"/>
  <c r="E194" i="3"/>
  <c r="D194" i="3"/>
  <c r="Q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Q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Q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Q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Q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D185" i="3"/>
  <c r="E185" i="3" s="1"/>
  <c r="F185" i="3" s="1"/>
  <c r="G185" i="3" s="1"/>
  <c r="H185" i="3" s="1"/>
  <c r="I185" i="3" s="1"/>
  <c r="J185" i="3" s="1"/>
  <c r="K185" i="3" s="1"/>
  <c r="L185" i="3" s="1"/>
  <c r="M185" i="3" s="1"/>
  <c r="N185" i="3" s="1"/>
  <c r="O185" i="3" s="1"/>
  <c r="D184" i="3"/>
  <c r="E184" i="3" s="1"/>
  <c r="D183" i="3"/>
  <c r="Q182" i="3"/>
  <c r="D182" i="3"/>
  <c r="F181" i="3"/>
  <c r="G181" i="3" s="1"/>
  <c r="H181" i="3" s="1"/>
  <c r="I181" i="3" s="1"/>
  <c r="J181" i="3" s="1"/>
  <c r="K181" i="3" s="1"/>
  <c r="L181" i="3" s="1"/>
  <c r="M181" i="3" s="1"/>
  <c r="N181" i="3" s="1"/>
  <c r="O181" i="3" s="1"/>
  <c r="D181" i="3"/>
  <c r="E181" i="3" s="1"/>
  <c r="E180" i="3"/>
  <c r="F180" i="3" s="1"/>
  <c r="G180" i="3" s="1"/>
  <c r="H180" i="3" s="1"/>
  <c r="I180" i="3" s="1"/>
  <c r="J180" i="3" s="1"/>
  <c r="K180" i="3" s="1"/>
  <c r="L180" i="3" s="1"/>
  <c r="M180" i="3" s="1"/>
  <c r="N180" i="3" s="1"/>
  <c r="O180" i="3" s="1"/>
  <c r="D180" i="3"/>
  <c r="Q179" i="3"/>
  <c r="D179" i="3"/>
  <c r="P174" i="3"/>
  <c r="Q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Q172" i="3"/>
  <c r="D172" i="3"/>
  <c r="D169" i="3"/>
  <c r="D167" i="3"/>
  <c r="Q166" i="3"/>
  <c r="D166" i="3"/>
  <c r="O165" i="3"/>
  <c r="N165" i="3"/>
  <c r="M165" i="3"/>
  <c r="K165" i="3"/>
  <c r="J165" i="3"/>
  <c r="H165" i="3"/>
  <c r="G165" i="3"/>
  <c r="F165" i="3"/>
  <c r="E165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P164" i="3" s="1"/>
  <c r="Q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Q162" i="3"/>
  <c r="N162" i="3"/>
  <c r="L162" i="3"/>
  <c r="K162" i="3"/>
  <c r="I162" i="3"/>
  <c r="H162" i="3"/>
  <c r="F162" i="3"/>
  <c r="D162" i="3"/>
  <c r="Q161" i="3"/>
  <c r="O161" i="3"/>
  <c r="M161" i="3"/>
  <c r="J161" i="3"/>
  <c r="H161" i="3"/>
  <c r="G161" i="3"/>
  <c r="E161" i="3"/>
  <c r="Q160" i="3"/>
  <c r="O160" i="3"/>
  <c r="M160" i="3"/>
  <c r="L160" i="3"/>
  <c r="K160" i="3"/>
  <c r="J160" i="3"/>
  <c r="G160" i="3"/>
  <c r="E160" i="3"/>
  <c r="D160" i="3"/>
  <c r="Q159" i="3"/>
  <c r="O159" i="3"/>
  <c r="L159" i="3"/>
  <c r="J159" i="3"/>
  <c r="I159" i="3"/>
  <c r="H159" i="3"/>
  <c r="G159" i="3"/>
  <c r="D159" i="3"/>
  <c r="Q158" i="3"/>
  <c r="O158" i="3"/>
  <c r="M158" i="3"/>
  <c r="L158" i="3"/>
  <c r="K158" i="3"/>
  <c r="H158" i="3"/>
  <c r="G158" i="3"/>
  <c r="E158" i="3"/>
  <c r="D158" i="3"/>
  <c r="P157" i="3"/>
  <c r="Q152" i="3"/>
  <c r="D149" i="3"/>
  <c r="D148" i="3"/>
  <c r="D145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P143" i="3" s="1"/>
  <c r="Q142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L140" i="3"/>
  <c r="F140" i="3"/>
  <c r="Q139" i="3"/>
  <c r="Q146" i="3" s="1"/>
  <c r="D139" i="3"/>
  <c r="D146" i="3" s="1"/>
  <c r="Q137" i="3"/>
  <c r="O137" i="3"/>
  <c r="N137" i="3"/>
  <c r="M137" i="3"/>
  <c r="K137" i="3"/>
  <c r="J137" i="3"/>
  <c r="H137" i="3"/>
  <c r="G137" i="3"/>
  <c r="F137" i="3"/>
  <c r="E137" i="3"/>
  <c r="Q136" i="3"/>
  <c r="N136" i="3"/>
  <c r="M136" i="3"/>
  <c r="L136" i="3"/>
  <c r="K136" i="3"/>
  <c r="J136" i="3"/>
  <c r="I136" i="3"/>
  <c r="H136" i="3"/>
  <c r="F136" i="3"/>
  <c r="E136" i="3"/>
  <c r="D136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Q134" i="3"/>
  <c r="Q133" i="3"/>
  <c r="O133" i="3"/>
  <c r="N133" i="3"/>
  <c r="M133" i="3"/>
  <c r="L133" i="3"/>
  <c r="K133" i="3"/>
  <c r="I133" i="3"/>
  <c r="H133" i="3"/>
  <c r="G133" i="3"/>
  <c r="F133" i="3"/>
  <c r="E133" i="3"/>
  <c r="D133" i="3"/>
  <c r="Q132" i="3"/>
  <c r="L132" i="3"/>
  <c r="I132" i="3"/>
  <c r="Q131" i="3"/>
  <c r="M131" i="3"/>
  <c r="F131" i="3"/>
  <c r="Q130" i="3"/>
  <c r="H130" i="3"/>
  <c r="Q129" i="3"/>
  <c r="O129" i="3"/>
  <c r="N129" i="3"/>
  <c r="M129" i="3"/>
  <c r="L129" i="3"/>
  <c r="K129" i="3"/>
  <c r="J129" i="3"/>
  <c r="I129" i="3"/>
  <c r="H129" i="3"/>
  <c r="G129" i="3"/>
  <c r="P129" i="3" s="1"/>
  <c r="F129" i="3"/>
  <c r="E129" i="3"/>
  <c r="D129" i="3"/>
  <c r="Q128" i="3"/>
  <c r="O128" i="3"/>
  <c r="N128" i="3"/>
  <c r="M128" i="3"/>
  <c r="L128" i="3"/>
  <c r="K128" i="3"/>
  <c r="J128" i="3"/>
  <c r="I128" i="3"/>
  <c r="H128" i="3"/>
  <c r="P128" i="3" s="1"/>
  <c r="R128" i="3" s="1"/>
  <c r="G128" i="3"/>
  <c r="F128" i="3"/>
  <c r="E128" i="3"/>
  <c r="D128" i="3"/>
  <c r="Q127" i="3"/>
  <c r="O127" i="3"/>
  <c r="M127" i="3"/>
  <c r="L127" i="3"/>
  <c r="K127" i="3"/>
  <c r="J127" i="3"/>
  <c r="H127" i="3"/>
  <c r="G127" i="3"/>
  <c r="E127" i="3"/>
  <c r="D127" i="3"/>
  <c r="D138" i="3" s="1"/>
  <c r="Q126" i="3"/>
  <c r="N126" i="3"/>
  <c r="L126" i="3"/>
  <c r="J126" i="3"/>
  <c r="I126" i="3"/>
  <c r="H126" i="3"/>
  <c r="F126" i="3"/>
  <c r="D126" i="3"/>
  <c r="Q125" i="3"/>
  <c r="O125" i="3"/>
  <c r="N125" i="3"/>
  <c r="M125" i="3"/>
  <c r="L125" i="3"/>
  <c r="K125" i="3"/>
  <c r="G125" i="3"/>
  <c r="F125" i="3"/>
  <c r="E125" i="3"/>
  <c r="D125" i="3"/>
  <c r="Q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Q122" i="3"/>
  <c r="O122" i="3"/>
  <c r="N122" i="3"/>
  <c r="M122" i="3"/>
  <c r="L122" i="3"/>
  <c r="K122" i="3"/>
  <c r="J122" i="3"/>
  <c r="I122" i="3"/>
  <c r="H122" i="3"/>
  <c r="G122" i="3"/>
  <c r="F122" i="3"/>
  <c r="P122" i="3" s="1"/>
  <c r="E122" i="3"/>
  <c r="D122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Q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P120" i="3" s="1"/>
  <c r="O116" i="3"/>
  <c r="N116" i="3"/>
  <c r="M116" i="3"/>
  <c r="L116" i="3"/>
  <c r="K116" i="3"/>
  <c r="J116" i="3"/>
  <c r="I116" i="3"/>
  <c r="H116" i="3"/>
  <c r="G116" i="3"/>
  <c r="F116" i="3"/>
  <c r="E116" i="3"/>
  <c r="D116" i="3"/>
  <c r="Q115" i="3"/>
  <c r="O115" i="3"/>
  <c r="N115" i="3"/>
  <c r="M115" i="3"/>
  <c r="K115" i="3"/>
  <c r="J115" i="3"/>
  <c r="H115" i="3"/>
  <c r="G115" i="3"/>
  <c r="F115" i="3"/>
  <c r="E115" i="3"/>
  <c r="Q114" i="3"/>
  <c r="Q118" i="3" s="1"/>
  <c r="Q119" i="3" s="1"/>
  <c r="N114" i="3"/>
  <c r="L114" i="3"/>
  <c r="K114" i="3"/>
  <c r="H114" i="3"/>
  <c r="H118" i="3" s="1"/>
  <c r="F114" i="3"/>
  <c r="E114" i="3"/>
  <c r="D114" i="3"/>
  <c r="P111" i="3"/>
  <c r="O110" i="3"/>
  <c r="N110" i="3"/>
  <c r="M110" i="3"/>
  <c r="L110" i="3"/>
  <c r="K110" i="3"/>
  <c r="K16" i="3" s="1"/>
  <c r="J110" i="3"/>
  <c r="J16" i="3" s="1"/>
  <c r="I110" i="3"/>
  <c r="H110" i="3"/>
  <c r="H16" i="3" s="1"/>
  <c r="G110" i="3"/>
  <c r="F110" i="3"/>
  <c r="E110" i="3"/>
  <c r="D110" i="3"/>
  <c r="O109" i="3"/>
  <c r="O15" i="3" s="1"/>
  <c r="N109" i="3"/>
  <c r="M109" i="3"/>
  <c r="M15" i="3" s="1"/>
  <c r="L109" i="3"/>
  <c r="L15" i="3" s="1"/>
  <c r="K109" i="3"/>
  <c r="J109" i="3"/>
  <c r="I109" i="3"/>
  <c r="H109" i="3"/>
  <c r="G109" i="3"/>
  <c r="G15" i="3" s="1"/>
  <c r="F109" i="3"/>
  <c r="E109" i="3"/>
  <c r="D109" i="3"/>
  <c r="O108" i="3"/>
  <c r="N108" i="3"/>
  <c r="M108" i="3"/>
  <c r="L108" i="3"/>
  <c r="L14" i="3" s="1"/>
  <c r="K108" i="3"/>
  <c r="K14" i="3" s="1"/>
  <c r="J108" i="3"/>
  <c r="J14" i="3" s="1"/>
  <c r="I108" i="3"/>
  <c r="H108" i="3"/>
  <c r="H14" i="3" s="1"/>
  <c r="G108" i="3"/>
  <c r="F108" i="3"/>
  <c r="E108" i="3"/>
  <c r="D108" i="3"/>
  <c r="O107" i="3"/>
  <c r="O13" i="3" s="1"/>
  <c r="N107" i="3"/>
  <c r="M107" i="3"/>
  <c r="L107" i="3"/>
  <c r="L13" i="3" s="1"/>
  <c r="K107" i="3"/>
  <c r="J107" i="3"/>
  <c r="I107" i="3"/>
  <c r="I13" i="3" s="1"/>
  <c r="H107" i="3"/>
  <c r="G107" i="3"/>
  <c r="F107" i="3"/>
  <c r="E107" i="3"/>
  <c r="D107" i="3"/>
  <c r="D13" i="3" s="1"/>
  <c r="O106" i="3"/>
  <c r="N106" i="3"/>
  <c r="N12" i="3" s="1"/>
  <c r="M106" i="3"/>
  <c r="L106" i="3"/>
  <c r="L12" i="3" s="1"/>
  <c r="K106" i="3"/>
  <c r="J106" i="3"/>
  <c r="I106" i="3"/>
  <c r="H106" i="3"/>
  <c r="G106" i="3"/>
  <c r="F106" i="3"/>
  <c r="F12" i="3" s="1"/>
  <c r="E106" i="3"/>
  <c r="D106" i="3"/>
  <c r="O105" i="3"/>
  <c r="O11" i="3" s="1"/>
  <c r="N105" i="3"/>
  <c r="M105" i="3"/>
  <c r="L105" i="3"/>
  <c r="L11" i="3" s="1"/>
  <c r="K105" i="3"/>
  <c r="J105" i="3"/>
  <c r="I105" i="3"/>
  <c r="I11" i="3" s="1"/>
  <c r="H105" i="3"/>
  <c r="G105" i="3"/>
  <c r="G11" i="3" s="1"/>
  <c r="F105" i="3"/>
  <c r="E105" i="3"/>
  <c r="D105" i="3"/>
  <c r="P105" i="3" s="1"/>
  <c r="O104" i="3"/>
  <c r="N104" i="3"/>
  <c r="M104" i="3"/>
  <c r="L104" i="3"/>
  <c r="K104" i="3"/>
  <c r="J104" i="3"/>
  <c r="J112" i="3" s="1"/>
  <c r="I104" i="3"/>
  <c r="I112" i="3" s="1"/>
  <c r="H104" i="3"/>
  <c r="G104" i="3"/>
  <c r="F104" i="3"/>
  <c r="E104" i="3"/>
  <c r="D104" i="3"/>
  <c r="O101" i="3"/>
  <c r="O7" i="3" s="1"/>
  <c r="N101" i="3"/>
  <c r="M101" i="3"/>
  <c r="M7" i="3" s="1"/>
  <c r="L101" i="3"/>
  <c r="L7" i="3" s="1"/>
  <c r="K101" i="3"/>
  <c r="K7" i="3" s="1"/>
  <c r="J101" i="3"/>
  <c r="I101" i="3"/>
  <c r="H101" i="3"/>
  <c r="G101" i="3"/>
  <c r="F101" i="3"/>
  <c r="E101" i="3"/>
  <c r="E7" i="3" s="1"/>
  <c r="D101" i="3"/>
  <c r="D7" i="3" s="1"/>
  <c r="O97" i="3"/>
  <c r="N97" i="3"/>
  <c r="M97" i="3"/>
  <c r="L97" i="3"/>
  <c r="K97" i="3"/>
  <c r="J97" i="3"/>
  <c r="I97" i="3"/>
  <c r="H97" i="3"/>
  <c r="G97" i="3"/>
  <c r="F97" i="3"/>
  <c r="E97" i="3"/>
  <c r="D97" i="3"/>
  <c r="O96" i="3"/>
  <c r="N96" i="3"/>
  <c r="M96" i="3"/>
  <c r="L96" i="3"/>
  <c r="K96" i="3"/>
  <c r="J96" i="3"/>
  <c r="I96" i="3"/>
  <c r="H96" i="3"/>
  <c r="G96" i="3"/>
  <c r="F96" i="3"/>
  <c r="E96" i="3"/>
  <c r="D96" i="3"/>
  <c r="O95" i="3"/>
  <c r="N95" i="3"/>
  <c r="M95" i="3"/>
  <c r="L95" i="3"/>
  <c r="K95" i="3"/>
  <c r="J95" i="3"/>
  <c r="I95" i="3"/>
  <c r="H95" i="3"/>
  <c r="G95" i="3"/>
  <c r="F95" i="3"/>
  <c r="E95" i="3"/>
  <c r="D95" i="3"/>
  <c r="O93" i="3"/>
  <c r="N93" i="3"/>
  <c r="M93" i="3"/>
  <c r="L93" i="3"/>
  <c r="K93" i="3"/>
  <c r="J93" i="3"/>
  <c r="I93" i="3"/>
  <c r="H93" i="3"/>
  <c r="G93" i="3"/>
  <c r="F93" i="3"/>
  <c r="E93" i="3"/>
  <c r="D93" i="3"/>
  <c r="O91" i="3"/>
  <c r="N91" i="3"/>
  <c r="M91" i="3"/>
  <c r="L91" i="3"/>
  <c r="K91" i="3"/>
  <c r="J91" i="3"/>
  <c r="I91" i="3"/>
  <c r="H91" i="3"/>
  <c r="G91" i="3"/>
  <c r="F91" i="3"/>
  <c r="E91" i="3"/>
  <c r="D91" i="3"/>
  <c r="O89" i="3"/>
  <c r="N89" i="3"/>
  <c r="M89" i="3"/>
  <c r="L89" i="3"/>
  <c r="K89" i="3"/>
  <c r="J89" i="3"/>
  <c r="I89" i="3"/>
  <c r="H89" i="3"/>
  <c r="G89" i="3"/>
  <c r="F89" i="3"/>
  <c r="E89" i="3"/>
  <c r="D89" i="3"/>
  <c r="O88" i="3"/>
  <c r="N88" i="3"/>
  <c r="M88" i="3"/>
  <c r="L88" i="3"/>
  <c r="K88" i="3"/>
  <c r="J88" i="3"/>
  <c r="I88" i="3"/>
  <c r="H88" i="3"/>
  <c r="G88" i="3"/>
  <c r="F88" i="3"/>
  <c r="E88" i="3"/>
  <c r="D88" i="3"/>
  <c r="O87" i="3"/>
  <c r="N87" i="3"/>
  <c r="M87" i="3"/>
  <c r="L87" i="3"/>
  <c r="K87" i="3"/>
  <c r="J87" i="3"/>
  <c r="I87" i="3"/>
  <c r="H87" i="3"/>
  <c r="G87" i="3"/>
  <c r="F87" i="3"/>
  <c r="E87" i="3"/>
  <c r="D87" i="3"/>
  <c r="O86" i="3"/>
  <c r="N86" i="3"/>
  <c r="M86" i="3"/>
  <c r="L86" i="3"/>
  <c r="K86" i="3"/>
  <c r="J86" i="3"/>
  <c r="I86" i="3"/>
  <c r="H86" i="3"/>
  <c r="G86" i="3"/>
  <c r="F86" i="3"/>
  <c r="E86" i="3"/>
  <c r="D86" i="3"/>
  <c r="O85" i="3"/>
  <c r="N85" i="3"/>
  <c r="M85" i="3"/>
  <c r="L85" i="3"/>
  <c r="K85" i="3"/>
  <c r="J85" i="3"/>
  <c r="I85" i="3"/>
  <c r="H85" i="3"/>
  <c r="G85" i="3"/>
  <c r="F85" i="3"/>
  <c r="E85" i="3"/>
  <c r="D85" i="3"/>
  <c r="N81" i="3"/>
  <c r="M81" i="3"/>
  <c r="L81" i="3"/>
  <c r="K81" i="3"/>
  <c r="F81" i="3"/>
  <c r="E81" i="3"/>
  <c r="D81" i="3"/>
  <c r="O79" i="3"/>
  <c r="O81" i="3" s="1"/>
  <c r="N79" i="3"/>
  <c r="M79" i="3"/>
  <c r="L79" i="3"/>
  <c r="K79" i="3"/>
  <c r="J79" i="3"/>
  <c r="J81" i="3" s="1"/>
  <c r="I79" i="3"/>
  <c r="I81" i="3" s="1"/>
  <c r="H79" i="3"/>
  <c r="H81" i="3" s="1"/>
  <c r="G79" i="3"/>
  <c r="G81" i="3" s="1"/>
  <c r="F79" i="3"/>
  <c r="E79" i="3"/>
  <c r="D79" i="3"/>
  <c r="L50" i="3"/>
  <c r="P48" i="3"/>
  <c r="O47" i="3"/>
  <c r="N47" i="3"/>
  <c r="M47" i="3"/>
  <c r="L47" i="3"/>
  <c r="K47" i="3"/>
  <c r="J47" i="3"/>
  <c r="I47" i="3"/>
  <c r="H47" i="3"/>
  <c r="G47" i="3"/>
  <c r="F47" i="3"/>
  <c r="E47" i="3"/>
  <c r="D47" i="3"/>
  <c r="O46" i="3"/>
  <c r="N46" i="3"/>
  <c r="M46" i="3"/>
  <c r="L46" i="3"/>
  <c r="K46" i="3"/>
  <c r="J46" i="3"/>
  <c r="I46" i="3"/>
  <c r="H46" i="3"/>
  <c r="G46" i="3"/>
  <c r="F46" i="3"/>
  <c r="E46" i="3"/>
  <c r="D46" i="3"/>
  <c r="O45" i="3"/>
  <c r="N45" i="3"/>
  <c r="M45" i="3"/>
  <c r="L45" i="3"/>
  <c r="K45" i="3"/>
  <c r="J45" i="3"/>
  <c r="I45" i="3"/>
  <c r="H45" i="3"/>
  <c r="G45" i="3"/>
  <c r="F45" i="3"/>
  <c r="E45" i="3"/>
  <c r="D45" i="3"/>
  <c r="O44" i="3"/>
  <c r="N44" i="3"/>
  <c r="M44" i="3"/>
  <c r="L44" i="3"/>
  <c r="K44" i="3"/>
  <c r="J44" i="3"/>
  <c r="I44" i="3"/>
  <c r="H44" i="3"/>
  <c r="G44" i="3"/>
  <c r="F44" i="3"/>
  <c r="E44" i="3"/>
  <c r="D44" i="3"/>
  <c r="O43" i="3"/>
  <c r="O49" i="3" s="1"/>
  <c r="O50" i="3" s="1"/>
  <c r="N43" i="3"/>
  <c r="N49" i="3" s="1"/>
  <c r="N50" i="3" s="1"/>
  <c r="M43" i="3"/>
  <c r="L43" i="3"/>
  <c r="L49" i="3" s="1"/>
  <c r="K43" i="3"/>
  <c r="K49" i="3" s="1"/>
  <c r="K50" i="3" s="1"/>
  <c r="J43" i="3"/>
  <c r="I43" i="3"/>
  <c r="H43" i="3"/>
  <c r="G43" i="3"/>
  <c r="G49" i="3" s="1"/>
  <c r="G50" i="3" s="1"/>
  <c r="F43" i="3"/>
  <c r="F49" i="3" s="1"/>
  <c r="F50" i="3" s="1"/>
  <c r="E43" i="3"/>
  <c r="D43" i="3"/>
  <c r="P43" i="3" s="1"/>
  <c r="P49" i="3" s="1"/>
  <c r="M36" i="3"/>
  <c r="K36" i="3"/>
  <c r="E36" i="3"/>
  <c r="Q34" i="3"/>
  <c r="Q221" i="3" s="1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Q32" i="3"/>
  <c r="Q219" i="3" s="1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Q31" i="3"/>
  <c r="P31" i="3"/>
  <c r="O31" i="3"/>
  <c r="O36" i="3" s="1"/>
  <c r="N31" i="3"/>
  <c r="N36" i="3" s="1"/>
  <c r="M31" i="3"/>
  <c r="L31" i="3"/>
  <c r="L36" i="3" s="1"/>
  <c r="K31" i="3"/>
  <c r="J31" i="3"/>
  <c r="J36" i="3" s="1"/>
  <c r="I31" i="3"/>
  <c r="H31" i="3"/>
  <c r="G31" i="3"/>
  <c r="G36" i="3" s="1"/>
  <c r="F31" i="3"/>
  <c r="F36" i="3" s="1"/>
  <c r="E31" i="3"/>
  <c r="D31" i="3"/>
  <c r="D36" i="3" s="1"/>
  <c r="Q25" i="3"/>
  <c r="Q24" i="3"/>
  <c r="Q20" i="3"/>
  <c r="Q18" i="3"/>
  <c r="Q112" i="3" s="1"/>
  <c r="O16" i="3"/>
  <c r="N16" i="3"/>
  <c r="M16" i="3"/>
  <c r="L16" i="3"/>
  <c r="I16" i="3"/>
  <c r="G16" i="3"/>
  <c r="F16" i="3"/>
  <c r="E16" i="3"/>
  <c r="D16" i="3"/>
  <c r="N15" i="3"/>
  <c r="K15" i="3"/>
  <c r="J15" i="3"/>
  <c r="I15" i="3"/>
  <c r="H15" i="3"/>
  <c r="F15" i="3"/>
  <c r="D15" i="3"/>
  <c r="O14" i="3"/>
  <c r="N14" i="3"/>
  <c r="M14" i="3"/>
  <c r="I14" i="3"/>
  <c r="G14" i="3"/>
  <c r="F14" i="3"/>
  <c r="E14" i="3"/>
  <c r="N13" i="3"/>
  <c r="M13" i="3"/>
  <c r="K13" i="3"/>
  <c r="J13" i="3"/>
  <c r="H13" i="3"/>
  <c r="F13" i="3"/>
  <c r="E13" i="3"/>
  <c r="O12" i="3"/>
  <c r="M12" i="3"/>
  <c r="K12" i="3"/>
  <c r="J12" i="3"/>
  <c r="I12" i="3"/>
  <c r="H12" i="3"/>
  <c r="G12" i="3"/>
  <c r="E12" i="3"/>
  <c r="N11" i="3"/>
  <c r="M11" i="3"/>
  <c r="J11" i="3"/>
  <c r="H11" i="3"/>
  <c r="F11" i="3"/>
  <c r="E11" i="3"/>
  <c r="O10" i="3"/>
  <c r="M10" i="3"/>
  <c r="L10" i="3"/>
  <c r="K10" i="3"/>
  <c r="J10" i="3"/>
  <c r="J18" i="3" s="1"/>
  <c r="I10" i="3"/>
  <c r="G10" i="3"/>
  <c r="E10" i="3"/>
  <c r="D10" i="3"/>
  <c r="P8" i="3"/>
  <c r="N7" i="3"/>
  <c r="J7" i="3"/>
  <c r="I7" i="3"/>
  <c r="H7" i="3"/>
  <c r="G7" i="3"/>
  <c r="F7" i="3"/>
  <c r="E608" i="3" l="1"/>
  <c r="G563" i="3"/>
  <c r="H563" i="3" s="1"/>
  <c r="I563" i="3" s="1"/>
  <c r="J563" i="3" s="1"/>
  <c r="K563" i="3" s="1"/>
  <c r="L563" i="3" s="1"/>
  <c r="M563" i="3" s="1"/>
  <c r="N563" i="3" s="1"/>
  <c r="O563" i="3" s="1"/>
  <c r="L836" i="3"/>
  <c r="E169" i="3"/>
  <c r="F859" i="3"/>
  <c r="L18" i="3"/>
  <c r="R194" i="3"/>
  <c r="T212" i="3"/>
  <c r="N800" i="3"/>
  <c r="P7" i="3"/>
  <c r="E112" i="3"/>
  <c r="M112" i="3"/>
  <c r="M114" i="3"/>
  <c r="I115" i="3"/>
  <c r="P115" i="3" s="1"/>
  <c r="R115" i="3" s="1"/>
  <c r="D168" i="3"/>
  <c r="D177" i="3" s="1"/>
  <c r="D24" i="3" s="1"/>
  <c r="P189" i="3"/>
  <c r="R189" i="3" s="1"/>
  <c r="P347" i="3"/>
  <c r="E409" i="3"/>
  <c r="F409" i="3" s="1"/>
  <c r="G409" i="3" s="1"/>
  <c r="H409" i="3" s="1"/>
  <c r="E416" i="3"/>
  <c r="P494" i="3"/>
  <c r="H501" i="3"/>
  <c r="P542" i="3"/>
  <c r="E609" i="3"/>
  <c r="F609" i="3" s="1"/>
  <c r="P693" i="3"/>
  <c r="P711" i="3"/>
  <c r="E834" i="3"/>
  <c r="F834" i="3" s="1"/>
  <c r="G834" i="3" s="1"/>
  <c r="H834" i="3" s="1"/>
  <c r="I834" i="3" s="1"/>
  <c r="J834" i="3" s="1"/>
  <c r="K834" i="3" s="1"/>
  <c r="L834" i="3" s="1"/>
  <c r="M834" i="3" s="1"/>
  <c r="N834" i="3" s="1"/>
  <c r="O834" i="3" s="1"/>
  <c r="P871" i="3"/>
  <c r="P874" i="3"/>
  <c r="E902" i="3"/>
  <c r="F902" i="3" s="1"/>
  <c r="G902" i="3" s="1"/>
  <c r="H902" i="3" s="1"/>
  <c r="I902" i="3" s="1"/>
  <c r="J902" i="3" s="1"/>
  <c r="K902" i="3" s="1"/>
  <c r="L902" i="3" s="1"/>
  <c r="M902" i="3" s="1"/>
  <c r="N902" i="3" s="1"/>
  <c r="O902" i="3" s="1"/>
  <c r="M18" i="3"/>
  <c r="R34" i="3"/>
  <c r="P46" i="3"/>
  <c r="N118" i="3"/>
  <c r="G130" i="3"/>
  <c r="M132" i="3"/>
  <c r="G140" i="3"/>
  <c r="O140" i="3"/>
  <c r="K130" i="3"/>
  <c r="G452" i="3"/>
  <c r="O452" i="3"/>
  <c r="D460" i="3"/>
  <c r="P743" i="3"/>
  <c r="D758" i="3"/>
  <c r="D814" i="3"/>
  <c r="P16" i="3"/>
  <c r="I49" i="3"/>
  <c r="I50" i="3" s="1"/>
  <c r="F130" i="3"/>
  <c r="D11" i="3"/>
  <c r="R32" i="3"/>
  <c r="J49" i="3"/>
  <c r="J50" i="3" s="1"/>
  <c r="D112" i="3"/>
  <c r="F118" i="3"/>
  <c r="L115" i="3"/>
  <c r="R122" i="3"/>
  <c r="I130" i="3"/>
  <c r="P187" i="3"/>
  <c r="P207" i="3"/>
  <c r="R207" i="3" s="1"/>
  <c r="I140" i="3"/>
  <c r="M130" i="3"/>
  <c r="E140" i="3"/>
  <c r="M140" i="3"/>
  <c r="P346" i="3"/>
  <c r="P354" i="3" s="1"/>
  <c r="J140" i="3"/>
  <c r="N501" i="3"/>
  <c r="K600" i="3"/>
  <c r="P663" i="3"/>
  <c r="I700" i="3"/>
  <c r="M700" i="3"/>
  <c r="P835" i="3"/>
  <c r="P299" i="3"/>
  <c r="P201" i="3"/>
  <c r="R201" i="3" s="1"/>
  <c r="J452" i="3"/>
  <c r="O501" i="3"/>
  <c r="G600" i="3"/>
  <c r="O600" i="3"/>
  <c r="P44" i="3"/>
  <c r="P104" i="3"/>
  <c r="J114" i="3"/>
  <c r="J118" i="3" s="1"/>
  <c r="P136" i="3"/>
  <c r="R136" i="3" s="1"/>
  <c r="E159" i="3"/>
  <c r="P159" i="3" s="1"/>
  <c r="R159" i="3" s="1"/>
  <c r="P165" i="3"/>
  <c r="D170" i="3"/>
  <c r="P199" i="3"/>
  <c r="R199" i="3" s="1"/>
  <c r="L354" i="3"/>
  <c r="P545" i="3"/>
  <c r="P552" i="3"/>
  <c r="P789" i="3"/>
  <c r="D864" i="3"/>
  <c r="P161" i="3"/>
  <c r="R161" i="3" s="1"/>
  <c r="P193" i="3"/>
  <c r="R193" i="3" s="1"/>
  <c r="N130" i="3"/>
  <c r="P405" i="3"/>
  <c r="P593" i="3"/>
  <c r="Q26" i="3"/>
  <c r="E49" i="3"/>
  <c r="E50" i="3" s="1"/>
  <c r="M49" i="3"/>
  <c r="M50" i="3" s="1"/>
  <c r="G112" i="3"/>
  <c r="O112" i="3"/>
  <c r="K118" i="3"/>
  <c r="I127" i="3"/>
  <c r="R129" i="3"/>
  <c r="P133" i="3"/>
  <c r="R133" i="3" s="1"/>
  <c r="P181" i="3"/>
  <c r="P186" i="3"/>
  <c r="R186" i="3" s="1"/>
  <c r="P200" i="3"/>
  <c r="R200" i="3" s="1"/>
  <c r="E354" i="3"/>
  <c r="M354" i="3"/>
  <c r="I354" i="3"/>
  <c r="D411" i="3"/>
  <c r="P444" i="3"/>
  <c r="P446" i="3"/>
  <c r="P748" i="3"/>
  <c r="P829" i="3"/>
  <c r="K18" i="3"/>
  <c r="P116" i="3"/>
  <c r="P127" i="3"/>
  <c r="R127" i="3" s="1"/>
  <c r="J262" i="3"/>
  <c r="K317" i="3"/>
  <c r="L317" i="3" s="1"/>
  <c r="M317" i="3" s="1"/>
  <c r="N317" i="3" s="1"/>
  <c r="O317" i="3" s="1"/>
  <c r="P317" i="3"/>
  <c r="P45" i="3"/>
  <c r="P101" i="3"/>
  <c r="H112" i="3"/>
  <c r="H10" i="3"/>
  <c r="H18" i="3" s="1"/>
  <c r="K11" i="3"/>
  <c r="P11" i="3" s="1"/>
  <c r="K112" i="3"/>
  <c r="K119" i="3" s="1"/>
  <c r="E118" i="3"/>
  <c r="P121" i="3"/>
  <c r="R120" i="3" s="1"/>
  <c r="P131" i="3"/>
  <c r="R131" i="3" s="1"/>
  <c r="P158" i="3"/>
  <c r="P173" i="3"/>
  <c r="R173" i="3" s="1"/>
  <c r="P180" i="3"/>
  <c r="P185" i="3"/>
  <c r="P192" i="3"/>
  <c r="P250" i="3"/>
  <c r="E132" i="3"/>
  <c r="P132" i="3" s="1"/>
  <c r="R132" i="3" s="1"/>
  <c r="F184" i="3"/>
  <c r="G184" i="3" s="1"/>
  <c r="H184" i="3" s="1"/>
  <c r="I184" i="3" s="1"/>
  <c r="J184" i="3" s="1"/>
  <c r="K184" i="3" s="1"/>
  <c r="L184" i="3" s="1"/>
  <c r="M184" i="3" s="1"/>
  <c r="N184" i="3" s="1"/>
  <c r="O184" i="3" s="1"/>
  <c r="I125" i="3"/>
  <c r="I256" i="3"/>
  <c r="H119" i="3"/>
  <c r="P140" i="3"/>
  <c r="F268" i="3"/>
  <c r="P110" i="3"/>
  <c r="O18" i="3"/>
  <c r="P109" i="3"/>
  <c r="E15" i="3"/>
  <c r="E18" i="3" s="1"/>
  <c r="P135" i="3"/>
  <c r="H36" i="3"/>
  <c r="P36" i="3"/>
  <c r="R36" i="3" s="1"/>
  <c r="H49" i="3"/>
  <c r="H50" i="3" s="1"/>
  <c r="P47" i="3"/>
  <c r="P50" i="3" s="1"/>
  <c r="J119" i="3"/>
  <c r="P141" i="3"/>
  <c r="Q177" i="3"/>
  <c r="S177" i="3" s="1"/>
  <c r="P163" i="3"/>
  <c r="R163" i="3" s="1"/>
  <c r="D212" i="3"/>
  <c r="E179" i="3"/>
  <c r="P191" i="3"/>
  <c r="G236" i="3"/>
  <c r="G114" i="3"/>
  <c r="G118" i="3" s="1"/>
  <c r="O236" i="3"/>
  <c r="O114" i="3"/>
  <c r="O118" i="3" s="1"/>
  <c r="G260" i="3"/>
  <c r="Q220" i="3"/>
  <c r="R33" i="3"/>
  <c r="Q218" i="3"/>
  <c r="Q36" i="3"/>
  <c r="P107" i="3"/>
  <c r="G13" i="3"/>
  <c r="P13" i="3" s="1"/>
  <c r="P137" i="3"/>
  <c r="R137" i="3" s="1"/>
  <c r="P249" i="3"/>
  <c r="I36" i="3"/>
  <c r="P106" i="3"/>
  <c r="P112" i="3" s="1"/>
  <c r="D12" i="3"/>
  <c r="P108" i="3"/>
  <c r="D14" i="3"/>
  <c r="P14" i="3" s="1"/>
  <c r="L118" i="3"/>
  <c r="P160" i="3"/>
  <c r="R160" i="3" s="1"/>
  <c r="E183" i="3"/>
  <c r="F183" i="3" s="1"/>
  <c r="G183" i="3" s="1"/>
  <c r="H183" i="3" s="1"/>
  <c r="I183" i="3" s="1"/>
  <c r="J183" i="3" s="1"/>
  <c r="K183" i="3" s="1"/>
  <c r="L183" i="3" s="1"/>
  <c r="M183" i="3" s="1"/>
  <c r="N183" i="3" s="1"/>
  <c r="O183" i="3" s="1"/>
  <c r="P188" i="3"/>
  <c r="R188" i="3" s="1"/>
  <c r="I114" i="3"/>
  <c r="I118" i="3" s="1"/>
  <c r="I236" i="3"/>
  <c r="P292" i="3"/>
  <c r="P15" i="3"/>
  <c r="I18" i="3"/>
  <c r="L112" i="3"/>
  <c r="P123" i="3"/>
  <c r="F112" i="3"/>
  <c r="F10" i="3"/>
  <c r="F18" i="3" s="1"/>
  <c r="N112" i="3"/>
  <c r="N119" i="3" s="1"/>
  <c r="N10" i="3"/>
  <c r="N18" i="3" s="1"/>
  <c r="M118" i="3"/>
  <c r="Q138" i="3"/>
  <c r="Q153" i="3" s="1"/>
  <c r="P124" i="3"/>
  <c r="R124" i="3" s="1"/>
  <c r="P126" i="3"/>
  <c r="R126" i="3" s="1"/>
  <c r="P162" i="3"/>
  <c r="R162" i="3" s="1"/>
  <c r="Q212" i="3"/>
  <c r="Q213" i="3" s="1"/>
  <c r="P190" i="3"/>
  <c r="R190" i="3" s="1"/>
  <c r="P297" i="3"/>
  <c r="P196" i="3"/>
  <c r="P197" i="3"/>
  <c r="P204" i="3"/>
  <c r="R204" i="3" s="1"/>
  <c r="J256" i="3"/>
  <c r="P311" i="3"/>
  <c r="I366" i="3"/>
  <c r="J366" i="3" s="1"/>
  <c r="K366" i="3" s="1"/>
  <c r="L366" i="3" s="1"/>
  <c r="M366" i="3" s="1"/>
  <c r="N366" i="3" s="1"/>
  <c r="O366" i="3" s="1"/>
  <c r="P439" i="3"/>
  <c r="P454" i="3"/>
  <c r="R31" i="3"/>
  <c r="D49" i="3"/>
  <c r="D50" i="3" s="1"/>
  <c r="P195" i="3"/>
  <c r="P205" i="3"/>
  <c r="P210" i="3"/>
  <c r="P243" i="3"/>
  <c r="D256" i="3"/>
  <c r="F263" i="3"/>
  <c r="G269" i="3"/>
  <c r="K305" i="3"/>
  <c r="P304" i="3"/>
  <c r="F316" i="3"/>
  <c r="G316" i="3" s="1"/>
  <c r="H316" i="3" s="1"/>
  <c r="I316" i="3" s="1"/>
  <c r="J316" i="3" s="1"/>
  <c r="K316" i="3" s="1"/>
  <c r="L316" i="3" s="1"/>
  <c r="M316" i="3" s="1"/>
  <c r="N316" i="3" s="1"/>
  <c r="O316" i="3" s="1"/>
  <c r="P360" i="3"/>
  <c r="D368" i="3"/>
  <c r="E363" i="3"/>
  <c r="D118" i="3"/>
  <c r="E182" i="3"/>
  <c r="F182" i="3" s="1"/>
  <c r="G182" i="3" s="1"/>
  <c r="H182" i="3" s="1"/>
  <c r="I182" i="3" s="1"/>
  <c r="J182" i="3" s="1"/>
  <c r="K182" i="3" s="1"/>
  <c r="L182" i="3" s="1"/>
  <c r="M182" i="3" s="1"/>
  <c r="N182" i="3" s="1"/>
  <c r="O182" i="3" s="1"/>
  <c r="P203" i="3"/>
  <c r="R203" i="3" s="1"/>
  <c r="P208" i="3"/>
  <c r="E256" i="3"/>
  <c r="M256" i="3"/>
  <c r="E267" i="3"/>
  <c r="D305" i="3"/>
  <c r="P287" i="3"/>
  <c r="D319" i="3"/>
  <c r="E314" i="3"/>
  <c r="F318" i="3"/>
  <c r="G318" i="3" s="1"/>
  <c r="H318" i="3" s="1"/>
  <c r="I318" i="3" s="1"/>
  <c r="J318" i="3" s="1"/>
  <c r="K318" i="3" s="1"/>
  <c r="L318" i="3" s="1"/>
  <c r="M318" i="3" s="1"/>
  <c r="N318" i="3" s="1"/>
  <c r="O318" i="3" s="1"/>
  <c r="P356" i="3"/>
  <c r="Q22" i="3"/>
  <c r="Q28" i="3" s="1"/>
  <c r="Q38" i="3" s="1"/>
  <c r="E130" i="3"/>
  <c r="Q157" i="3"/>
  <c r="R157" i="3" s="1"/>
  <c r="P232" i="3"/>
  <c r="P236" i="3" s="1"/>
  <c r="P258" i="3"/>
  <c r="E266" i="3"/>
  <c r="E312" i="3"/>
  <c r="F312" i="3" s="1"/>
  <c r="G312" i="3" s="1"/>
  <c r="H312" i="3" s="1"/>
  <c r="I312" i="3" s="1"/>
  <c r="J312" i="3" s="1"/>
  <c r="K312" i="3" s="1"/>
  <c r="L312" i="3" s="1"/>
  <c r="M312" i="3" s="1"/>
  <c r="N312" i="3" s="1"/>
  <c r="O312" i="3" s="1"/>
  <c r="F354" i="3"/>
  <c r="D354" i="3"/>
  <c r="F367" i="3"/>
  <c r="G367" i="3" s="1"/>
  <c r="H367" i="3" s="1"/>
  <c r="I367" i="3" s="1"/>
  <c r="J367" i="3" s="1"/>
  <c r="K367" i="3" s="1"/>
  <c r="L367" i="3" s="1"/>
  <c r="M367" i="3" s="1"/>
  <c r="N367" i="3" s="1"/>
  <c r="O367" i="3" s="1"/>
  <c r="P367" i="3"/>
  <c r="F404" i="3"/>
  <c r="F453" i="3"/>
  <c r="E460" i="3"/>
  <c r="P298" i="3"/>
  <c r="D150" i="3"/>
  <c r="D236" i="3"/>
  <c r="G256" i="3"/>
  <c r="O256" i="3"/>
  <c r="P248" i="3"/>
  <c r="P256" i="3" s="1"/>
  <c r="N305" i="3"/>
  <c r="P348" i="3"/>
  <c r="G550" i="3"/>
  <c r="P202" i="3"/>
  <c r="R202" i="3" s="1"/>
  <c r="P206" i="3"/>
  <c r="R206" i="3" s="1"/>
  <c r="P244" i="3"/>
  <c r="D264" i="3"/>
  <c r="E257" i="3"/>
  <c r="D270" i="3"/>
  <c r="E265" i="3"/>
  <c r="E315" i="3"/>
  <c r="F315" i="3" s="1"/>
  <c r="G315" i="3" s="1"/>
  <c r="H315" i="3" s="1"/>
  <c r="I315" i="3" s="1"/>
  <c r="J315" i="3" s="1"/>
  <c r="K315" i="3" s="1"/>
  <c r="L315" i="3" s="1"/>
  <c r="M315" i="3" s="1"/>
  <c r="N315" i="3" s="1"/>
  <c r="O315" i="3" s="1"/>
  <c r="E305" i="3"/>
  <c r="M305" i="3"/>
  <c r="P307" i="3"/>
  <c r="E355" i="3"/>
  <c r="D362" i="3"/>
  <c r="D403" i="3"/>
  <c r="D418" i="3" s="1"/>
  <c r="D421" i="3" s="1"/>
  <c r="D422" i="3" s="1"/>
  <c r="P391" i="3"/>
  <c r="G505" i="3"/>
  <c r="H505" i="3" s="1"/>
  <c r="I505" i="3" s="1"/>
  <c r="J505" i="3" s="1"/>
  <c r="K505" i="3" s="1"/>
  <c r="L505" i="3" s="1"/>
  <c r="M505" i="3" s="1"/>
  <c r="N505" i="3" s="1"/>
  <c r="O505" i="3" s="1"/>
  <c r="P594" i="3"/>
  <c r="E306" i="3"/>
  <c r="D313" i="3"/>
  <c r="D320" i="3" s="1"/>
  <c r="D323" i="3" s="1"/>
  <c r="D324" i="3" s="1"/>
  <c r="H354" i="3"/>
  <c r="P338" i="3"/>
  <c r="E361" i="3"/>
  <c r="F361" i="3" s="1"/>
  <c r="G361" i="3" s="1"/>
  <c r="H361" i="3" s="1"/>
  <c r="I361" i="3" s="1"/>
  <c r="J361" i="3" s="1"/>
  <c r="K361" i="3" s="1"/>
  <c r="L361" i="3" s="1"/>
  <c r="M361" i="3" s="1"/>
  <c r="N361" i="3" s="1"/>
  <c r="O361" i="3" s="1"/>
  <c r="F416" i="3"/>
  <c r="G416" i="3" s="1"/>
  <c r="H416" i="3" s="1"/>
  <c r="I416" i="3" s="1"/>
  <c r="J416" i="3" s="1"/>
  <c r="K416" i="3" s="1"/>
  <c r="L416" i="3" s="1"/>
  <c r="M416" i="3" s="1"/>
  <c r="N416" i="3" s="1"/>
  <c r="O416" i="3" s="1"/>
  <c r="I452" i="3"/>
  <c r="P440" i="3"/>
  <c r="H305" i="3"/>
  <c r="E358" i="3"/>
  <c r="F358" i="3" s="1"/>
  <c r="G358" i="3" s="1"/>
  <c r="H358" i="3" s="1"/>
  <c r="I358" i="3" s="1"/>
  <c r="J358" i="3" s="1"/>
  <c r="K358" i="3" s="1"/>
  <c r="L358" i="3" s="1"/>
  <c r="M358" i="3" s="1"/>
  <c r="N358" i="3" s="1"/>
  <c r="O358" i="3" s="1"/>
  <c r="P358" i="3"/>
  <c r="P365" i="3"/>
  <c r="P396" i="3"/>
  <c r="D515" i="3"/>
  <c r="E510" i="3"/>
  <c r="F550" i="3"/>
  <c r="N550" i="3"/>
  <c r="J550" i="3"/>
  <c r="J305" i="3"/>
  <c r="E309" i="3"/>
  <c r="F309" i="3" s="1"/>
  <c r="G309" i="3" s="1"/>
  <c r="H309" i="3" s="1"/>
  <c r="I309" i="3" s="1"/>
  <c r="J309" i="3" s="1"/>
  <c r="K309" i="3" s="1"/>
  <c r="L309" i="3" s="1"/>
  <c r="M309" i="3" s="1"/>
  <c r="N309" i="3" s="1"/>
  <c r="O309" i="3" s="1"/>
  <c r="K354" i="3"/>
  <c r="P364" i="3"/>
  <c r="F432" i="3"/>
  <c r="P429" i="3"/>
  <c r="P432" i="3" s="1"/>
  <c r="D466" i="3"/>
  <c r="E462" i="3"/>
  <c r="P465" i="3"/>
  <c r="J501" i="3"/>
  <c r="P495" i="3"/>
  <c r="P507" i="3"/>
  <c r="P458" i="3"/>
  <c r="D509" i="3"/>
  <c r="E502" i="3"/>
  <c r="F403" i="3"/>
  <c r="N403" i="3"/>
  <c r="P512" i="3"/>
  <c r="P643" i="3"/>
  <c r="G708" i="3"/>
  <c r="P702" i="3"/>
  <c r="D452" i="3"/>
  <c r="D467" i="3" s="1"/>
  <c r="D470" i="3" s="1"/>
  <c r="D471" i="3" s="1"/>
  <c r="L452" i="3"/>
  <c r="P445" i="3"/>
  <c r="P452" i="3" s="1"/>
  <c r="D558" i="3"/>
  <c r="E551" i="3"/>
  <c r="P554" i="3"/>
  <c r="G607" i="3"/>
  <c r="H607" i="3" s="1"/>
  <c r="I607" i="3" s="1"/>
  <c r="J607" i="3" s="1"/>
  <c r="K607" i="3" s="1"/>
  <c r="L607" i="3" s="1"/>
  <c r="M607" i="3" s="1"/>
  <c r="N607" i="3" s="1"/>
  <c r="O607" i="3" s="1"/>
  <c r="P630" i="3"/>
  <c r="I403" i="3"/>
  <c r="D501" i="3"/>
  <c r="P488" i="3"/>
  <c r="L501" i="3"/>
  <c r="P511" i="3"/>
  <c r="H608" i="3"/>
  <c r="K403" i="3"/>
  <c r="P395" i="3"/>
  <c r="P397" i="3"/>
  <c r="D417" i="3"/>
  <c r="E413" i="3"/>
  <c r="P562" i="3"/>
  <c r="E562" i="3"/>
  <c r="F562" i="3" s="1"/>
  <c r="G562" i="3" s="1"/>
  <c r="H562" i="3" s="1"/>
  <c r="I562" i="3" s="1"/>
  <c r="J562" i="3" s="1"/>
  <c r="K562" i="3" s="1"/>
  <c r="L562" i="3" s="1"/>
  <c r="M562" i="3" s="1"/>
  <c r="N562" i="3" s="1"/>
  <c r="O562" i="3" s="1"/>
  <c r="J608" i="3"/>
  <c r="K604" i="3"/>
  <c r="P514" i="3"/>
  <c r="P544" i="3"/>
  <c r="D564" i="3"/>
  <c r="E559" i="3"/>
  <c r="P561" i="3"/>
  <c r="P580" i="3"/>
  <c r="P587" i="3"/>
  <c r="P600" i="3" s="1"/>
  <c r="P592" i="3"/>
  <c r="D650" i="3"/>
  <c r="P637" i="3"/>
  <c r="L650" i="3"/>
  <c r="P642" i="3"/>
  <c r="P493" i="3"/>
  <c r="D550" i="3"/>
  <c r="P537" i="3"/>
  <c r="J600" i="3"/>
  <c r="F600" i="3"/>
  <c r="N600" i="3"/>
  <c r="F700" i="3"/>
  <c r="L704" i="3"/>
  <c r="M704" i="3" s="1"/>
  <c r="K708" i="3"/>
  <c r="P489" i="3"/>
  <c r="P501" i="3" s="1"/>
  <c r="P508" i="3"/>
  <c r="E513" i="3"/>
  <c r="F513" i="3" s="1"/>
  <c r="G513" i="3" s="1"/>
  <c r="H513" i="3" s="1"/>
  <c r="I513" i="3" s="1"/>
  <c r="J513" i="3" s="1"/>
  <c r="K513" i="3" s="1"/>
  <c r="L513" i="3" s="1"/>
  <c r="M513" i="3" s="1"/>
  <c r="N513" i="3" s="1"/>
  <c r="O513" i="3" s="1"/>
  <c r="E550" i="3"/>
  <c r="M550" i="3"/>
  <c r="P543" i="3"/>
  <c r="P590" i="3"/>
  <c r="E630" i="3"/>
  <c r="P628" i="3"/>
  <c r="J654" i="3"/>
  <c r="P602" i="3"/>
  <c r="P850" i="3"/>
  <c r="O856" i="3"/>
  <c r="K501" i="3"/>
  <c r="P503" i="3"/>
  <c r="P557" i="3"/>
  <c r="P560" i="3"/>
  <c r="P595" i="3"/>
  <c r="D600" i="3"/>
  <c r="D615" i="3" s="1"/>
  <c r="D618" i="3" s="1"/>
  <c r="D619" i="3" s="1"/>
  <c r="F608" i="3"/>
  <c r="G608" i="3"/>
  <c r="P613" i="3"/>
  <c r="E658" i="3"/>
  <c r="P744" i="3"/>
  <c r="P692" i="3"/>
  <c r="H708" i="3"/>
  <c r="G754" i="3"/>
  <c r="F878" i="3"/>
  <c r="G878" i="3" s="1"/>
  <c r="H878" i="3" s="1"/>
  <c r="I878" i="3" s="1"/>
  <c r="E882" i="3"/>
  <c r="F882" i="3" s="1"/>
  <c r="G882" i="3" s="1"/>
  <c r="H882" i="3" s="1"/>
  <c r="I882" i="3" s="1"/>
  <c r="J882" i="3" s="1"/>
  <c r="K882" i="3" s="1"/>
  <c r="L882" i="3" s="1"/>
  <c r="M882" i="3" s="1"/>
  <c r="N882" i="3" s="1"/>
  <c r="O882" i="3" s="1"/>
  <c r="E901" i="3"/>
  <c r="F901" i="3" s="1"/>
  <c r="G901" i="3" s="1"/>
  <c r="H901" i="3" s="1"/>
  <c r="I901" i="3" s="1"/>
  <c r="J901" i="3" s="1"/>
  <c r="K901" i="3" s="1"/>
  <c r="L901" i="3" s="1"/>
  <c r="M901" i="3" s="1"/>
  <c r="N901" i="3" s="1"/>
  <c r="O901" i="3" s="1"/>
  <c r="O908" i="3" s="1"/>
  <c r="J700" i="3"/>
  <c r="P694" i="3"/>
  <c r="P700" i="3" s="1"/>
  <c r="I708" i="3"/>
  <c r="E713" i="3"/>
  <c r="F713" i="3" s="1"/>
  <c r="G713" i="3" s="1"/>
  <c r="H713" i="3" s="1"/>
  <c r="I713" i="3" s="1"/>
  <c r="J713" i="3" s="1"/>
  <c r="K713" i="3" s="1"/>
  <c r="L713" i="3" s="1"/>
  <c r="M713" i="3" s="1"/>
  <c r="N713" i="3" s="1"/>
  <c r="O713" i="3" s="1"/>
  <c r="F812" i="3"/>
  <c r="G812" i="3" s="1"/>
  <c r="H812" i="3" s="1"/>
  <c r="I812" i="3" s="1"/>
  <c r="J812" i="3" s="1"/>
  <c r="K812" i="3" s="1"/>
  <c r="L812" i="3" s="1"/>
  <c r="M812" i="3" s="1"/>
  <c r="N812" i="3" s="1"/>
  <c r="O812" i="3" s="1"/>
  <c r="D842" i="3"/>
  <c r="P825" i="3"/>
  <c r="P857" i="3"/>
  <c r="F905" i="3"/>
  <c r="G905" i="3" s="1"/>
  <c r="H905" i="3" s="1"/>
  <c r="I905" i="3" s="1"/>
  <c r="J905" i="3" s="1"/>
  <c r="K905" i="3" s="1"/>
  <c r="L905" i="3" s="1"/>
  <c r="M905" i="3" s="1"/>
  <c r="N905" i="3" s="1"/>
  <c r="O905" i="3" s="1"/>
  <c r="E556" i="3"/>
  <c r="H650" i="3"/>
  <c r="E657" i="3"/>
  <c r="F657" i="3" s="1"/>
  <c r="G657" i="3" s="1"/>
  <c r="H657" i="3" s="1"/>
  <c r="I657" i="3" s="1"/>
  <c r="J657" i="3" s="1"/>
  <c r="K657" i="3" s="1"/>
  <c r="L657" i="3" s="1"/>
  <c r="M657" i="3" s="1"/>
  <c r="N657" i="3" s="1"/>
  <c r="O657" i="3" s="1"/>
  <c r="E661" i="3"/>
  <c r="F661" i="3" s="1"/>
  <c r="G661" i="3" s="1"/>
  <c r="H661" i="3" s="1"/>
  <c r="I661" i="3" s="1"/>
  <c r="J661" i="3" s="1"/>
  <c r="K661" i="3" s="1"/>
  <c r="L661" i="3" s="1"/>
  <c r="M661" i="3" s="1"/>
  <c r="N661" i="3" s="1"/>
  <c r="O661" i="3" s="1"/>
  <c r="P680" i="3"/>
  <c r="J708" i="3"/>
  <c r="D808" i="3"/>
  <c r="E804" i="3"/>
  <c r="E814" i="3"/>
  <c r="F809" i="3"/>
  <c r="P883" i="3"/>
  <c r="P611" i="3"/>
  <c r="P684" i="3"/>
  <c r="L700" i="3"/>
  <c r="D714" i="3"/>
  <c r="P742" i="3"/>
  <c r="P856" i="3"/>
  <c r="E614" i="3"/>
  <c r="E92" i="3" s="1"/>
  <c r="P612" i="3"/>
  <c r="P686" i="3"/>
  <c r="L708" i="3"/>
  <c r="E880" i="3"/>
  <c r="F614" i="3"/>
  <c r="F92" i="3" s="1"/>
  <c r="G609" i="3"/>
  <c r="K650" i="3"/>
  <c r="P652" i="3"/>
  <c r="D658" i="3"/>
  <c r="F659" i="3"/>
  <c r="P707" i="3"/>
  <c r="P800" i="3"/>
  <c r="D700" i="3"/>
  <c r="D715" i="3" s="1"/>
  <c r="D718" i="3" s="1"/>
  <c r="D719" i="3" s="1"/>
  <c r="P807" i="3"/>
  <c r="P832" i="3"/>
  <c r="P837" i="3"/>
  <c r="P858" i="3"/>
  <c r="P895" i="3"/>
  <c r="P780" i="3"/>
  <c r="P855" i="3"/>
  <c r="P892" i="3"/>
  <c r="P904" i="3"/>
  <c r="D750" i="3"/>
  <c r="F800" i="3"/>
  <c r="E833" i="3"/>
  <c r="E839" i="3"/>
  <c r="P894" i="3"/>
  <c r="P896" i="3"/>
  <c r="E750" i="3"/>
  <c r="E746" i="3"/>
  <c r="P811" i="3"/>
  <c r="P828" i="3"/>
  <c r="P852" i="3"/>
  <c r="E861" i="3"/>
  <c r="F861" i="3" s="1"/>
  <c r="G861" i="3" s="1"/>
  <c r="H861" i="3" s="1"/>
  <c r="I861" i="3" s="1"/>
  <c r="J861" i="3" s="1"/>
  <c r="K861" i="3" s="1"/>
  <c r="L861" i="3" s="1"/>
  <c r="M861" i="3" s="1"/>
  <c r="N861" i="3" s="1"/>
  <c r="O861" i="3" s="1"/>
  <c r="P870" i="3"/>
  <c r="D886" i="3"/>
  <c r="E709" i="3"/>
  <c r="F759" i="3"/>
  <c r="E762" i="3"/>
  <c r="F762" i="3" s="1"/>
  <c r="G762" i="3" s="1"/>
  <c r="H762" i="3" s="1"/>
  <c r="I762" i="3" s="1"/>
  <c r="J762" i="3" s="1"/>
  <c r="K762" i="3" s="1"/>
  <c r="L762" i="3" s="1"/>
  <c r="M762" i="3" s="1"/>
  <c r="N762" i="3" s="1"/>
  <c r="O762" i="3" s="1"/>
  <c r="D764" i="3"/>
  <c r="D815" i="3"/>
  <c r="D818" i="3" s="1"/>
  <c r="D819" i="3" s="1"/>
  <c r="P813" i="3"/>
  <c r="P763" i="3"/>
  <c r="P881" i="3"/>
  <c r="P900" i="3"/>
  <c r="E757" i="3"/>
  <c r="F757" i="3" s="1"/>
  <c r="G757" i="3" s="1"/>
  <c r="H757" i="3" s="1"/>
  <c r="I757" i="3" s="1"/>
  <c r="J757" i="3" s="1"/>
  <c r="K757" i="3" s="1"/>
  <c r="L757" i="3" s="1"/>
  <c r="M757" i="3" s="1"/>
  <c r="N757" i="3" s="1"/>
  <c r="O757" i="3" s="1"/>
  <c r="E761" i="3"/>
  <c r="F761" i="3" s="1"/>
  <c r="G761" i="3" s="1"/>
  <c r="H761" i="3" s="1"/>
  <c r="I761" i="3" s="1"/>
  <c r="J761" i="3" s="1"/>
  <c r="K761" i="3" s="1"/>
  <c r="L761" i="3" s="1"/>
  <c r="M761" i="3" s="1"/>
  <c r="N761" i="3" s="1"/>
  <c r="O761" i="3" s="1"/>
  <c r="E838" i="3"/>
  <c r="E860" i="3"/>
  <c r="E864" i="3" s="1"/>
  <c r="E879" i="3"/>
  <c r="E886" i="3" s="1"/>
  <c r="D908" i="3"/>
  <c r="G859" i="3" l="1"/>
  <c r="F169" i="3"/>
  <c r="E411" i="3"/>
  <c r="P563" i="3"/>
  <c r="P882" i="3"/>
  <c r="P607" i="3"/>
  <c r="T140" i="3"/>
  <c r="S140" i="3"/>
  <c r="S193" i="3"/>
  <c r="K908" i="3"/>
  <c r="P902" i="3"/>
  <c r="J908" i="3"/>
  <c r="H908" i="3"/>
  <c r="P834" i="3"/>
  <c r="P762" i="3"/>
  <c r="P650" i="3"/>
  <c r="P130" i="3"/>
  <c r="R130" i="3" s="1"/>
  <c r="P182" i="3"/>
  <c r="R182" i="3" s="1"/>
  <c r="I908" i="3"/>
  <c r="L908" i="3"/>
  <c r="P861" i="3"/>
  <c r="G658" i="3"/>
  <c r="D369" i="3"/>
  <c r="D372" i="3" s="1"/>
  <c r="D373" i="3" s="1"/>
  <c r="M908" i="3"/>
  <c r="G908" i="3"/>
  <c r="N908" i="3"/>
  <c r="D765" i="3"/>
  <c r="D768" i="3" s="1"/>
  <c r="D769" i="3" s="1"/>
  <c r="H658" i="3"/>
  <c r="I658" i="3"/>
  <c r="I608" i="3"/>
  <c r="P309" i="3"/>
  <c r="P416" i="3"/>
  <c r="P316" i="3"/>
  <c r="P366" i="3"/>
  <c r="E908" i="3"/>
  <c r="F908" i="3"/>
  <c r="P812" i="3"/>
  <c r="E615" i="3"/>
  <c r="E618" i="3" s="1"/>
  <c r="E619" i="3" s="1"/>
  <c r="F658" i="3"/>
  <c r="D516" i="3"/>
  <c r="D519" i="3" s="1"/>
  <c r="Q222" i="3"/>
  <c r="S222" i="3" s="1"/>
  <c r="P184" i="3"/>
  <c r="M836" i="3"/>
  <c r="R112" i="3"/>
  <c r="S153" i="3"/>
  <c r="Q155" i="3"/>
  <c r="F880" i="3"/>
  <c r="E168" i="3"/>
  <c r="J878" i="3"/>
  <c r="E665" i="3"/>
  <c r="E668" i="3" s="1"/>
  <c r="E669" i="3" s="1"/>
  <c r="P305" i="3"/>
  <c r="F746" i="3"/>
  <c r="E134" i="3"/>
  <c r="E138" i="3" s="1"/>
  <c r="G809" i="3"/>
  <c r="F814" i="3"/>
  <c r="P513" i="3"/>
  <c r="G151" i="3"/>
  <c r="H269" i="3"/>
  <c r="R195" i="3"/>
  <c r="S195" i="3"/>
  <c r="M119" i="3"/>
  <c r="H260" i="3"/>
  <c r="E145" i="3"/>
  <c r="P10" i="3"/>
  <c r="P361" i="3"/>
  <c r="E212" i="3"/>
  <c r="F179" i="3"/>
  <c r="F764" i="3"/>
  <c r="G759" i="3"/>
  <c r="F615" i="3"/>
  <c r="F618" i="3" s="1"/>
  <c r="F619" i="3" s="1"/>
  <c r="F556" i="3"/>
  <c r="E144" i="3"/>
  <c r="F758" i="3"/>
  <c r="P505" i="3"/>
  <c r="P315" i="3"/>
  <c r="E151" i="3"/>
  <c r="G263" i="3"/>
  <c r="F145" i="3"/>
  <c r="E142" i="3"/>
  <c r="R196" i="3"/>
  <c r="S212" i="3"/>
  <c r="I119" i="3"/>
  <c r="G18" i="3"/>
  <c r="P125" i="3"/>
  <c r="R125" i="3" s="1"/>
  <c r="D25" i="3"/>
  <c r="D26" i="3" s="1"/>
  <c r="D213" i="3"/>
  <c r="P318" i="3"/>
  <c r="F839" i="3"/>
  <c r="E172" i="3"/>
  <c r="F462" i="3"/>
  <c r="E466" i="3"/>
  <c r="E467" i="3" s="1"/>
  <c r="E470" i="3" s="1"/>
  <c r="E471" i="3" s="1"/>
  <c r="E362" i="3"/>
  <c r="F355" i="3"/>
  <c r="F460" i="3"/>
  <c r="G453" i="3"/>
  <c r="D119" i="3"/>
  <c r="L119" i="3"/>
  <c r="O119" i="3"/>
  <c r="P761" i="3"/>
  <c r="G614" i="3"/>
  <c r="H609" i="3"/>
  <c r="P550" i="3"/>
  <c r="E564" i="3"/>
  <c r="F559" i="3"/>
  <c r="I409" i="3"/>
  <c r="E313" i="3"/>
  <c r="F306" i="3"/>
  <c r="E270" i="3"/>
  <c r="F265" i="3"/>
  <c r="E147" i="3"/>
  <c r="F860" i="3"/>
  <c r="E170" i="3"/>
  <c r="E758" i="3"/>
  <c r="E765" i="3" s="1"/>
  <c r="E768" i="3" s="1"/>
  <c r="E769" i="3" s="1"/>
  <c r="F833" i="3"/>
  <c r="E166" i="3"/>
  <c r="E842" i="3"/>
  <c r="E664" i="3"/>
  <c r="P757" i="3"/>
  <c r="D94" i="3"/>
  <c r="P901" i="3"/>
  <c r="K654" i="3"/>
  <c r="J658" i="3"/>
  <c r="N704" i="3"/>
  <c r="M708" i="3"/>
  <c r="D565" i="3"/>
  <c r="D568" i="3" s="1"/>
  <c r="D569" i="3" s="1"/>
  <c r="D665" i="3"/>
  <c r="D668" i="3" s="1"/>
  <c r="D669" i="3" s="1"/>
  <c r="E319" i="3"/>
  <c r="F314" i="3"/>
  <c r="F363" i="3"/>
  <c r="E368" i="3"/>
  <c r="F119" i="3"/>
  <c r="P183" i="3"/>
  <c r="G119" i="3"/>
  <c r="F267" i="3"/>
  <c r="E149" i="3"/>
  <c r="F879" i="3"/>
  <c r="F886" i="3" s="1"/>
  <c r="E167" i="3"/>
  <c r="E714" i="3"/>
  <c r="E715" i="3" s="1"/>
  <c r="E718" i="3" s="1"/>
  <c r="E719" i="3" s="1"/>
  <c r="F709" i="3"/>
  <c r="F664" i="3"/>
  <c r="F665" i="3" s="1"/>
  <c r="F668" i="3" s="1"/>
  <c r="F669" i="3" s="1"/>
  <c r="G659" i="3"/>
  <c r="P661" i="3"/>
  <c r="P905" i="3"/>
  <c r="G758" i="3"/>
  <c r="H754" i="3"/>
  <c r="L604" i="3"/>
  <c r="K608" i="3"/>
  <c r="F413" i="3"/>
  <c r="E417" i="3"/>
  <c r="E418" i="3" s="1"/>
  <c r="E421" i="3" s="1"/>
  <c r="E422" i="3" s="1"/>
  <c r="E509" i="3"/>
  <c r="F502" i="3"/>
  <c r="E119" i="3"/>
  <c r="F838" i="3"/>
  <c r="E171" i="3"/>
  <c r="P657" i="3"/>
  <c r="E515" i="3"/>
  <c r="F510" i="3"/>
  <c r="P403" i="3"/>
  <c r="D271" i="3"/>
  <c r="D274" i="3" s="1"/>
  <c r="F411" i="3"/>
  <c r="G404" i="3"/>
  <c r="P312" i="3"/>
  <c r="P12" i="3"/>
  <c r="D18" i="3"/>
  <c r="P114" i="3"/>
  <c r="E808" i="3"/>
  <c r="F804" i="3"/>
  <c r="E558" i="3"/>
  <c r="E565" i="3" s="1"/>
  <c r="E568" i="3" s="1"/>
  <c r="E569" i="3" s="1"/>
  <c r="F551" i="3"/>
  <c r="E264" i="3"/>
  <c r="E271" i="3" s="1"/>
  <c r="E274" i="3" s="1"/>
  <c r="E139" i="3"/>
  <c r="F257" i="3"/>
  <c r="D152" i="3"/>
  <c r="D153" i="3" s="1"/>
  <c r="E150" i="3"/>
  <c r="K262" i="3"/>
  <c r="E764" i="3"/>
  <c r="P713" i="3"/>
  <c r="F266" i="3"/>
  <c r="E148" i="3"/>
  <c r="F151" i="3"/>
  <c r="G268" i="3"/>
  <c r="F150" i="3"/>
  <c r="R158" i="3"/>
  <c r="E320" i="3" l="1"/>
  <c r="E323" i="3" s="1"/>
  <c r="E324" i="3" s="1"/>
  <c r="N836" i="3"/>
  <c r="P18" i="3"/>
  <c r="G169" i="3"/>
  <c r="H859" i="3"/>
  <c r="E177" i="3"/>
  <c r="E24" i="3" s="1"/>
  <c r="G257" i="3"/>
  <c r="F139" i="3"/>
  <c r="F264" i="3"/>
  <c r="G764" i="3"/>
  <c r="H759" i="3"/>
  <c r="G266" i="3"/>
  <c r="F148" i="3"/>
  <c r="L262" i="3"/>
  <c r="R114" i="3"/>
  <c r="P118" i="3"/>
  <c r="G838" i="3"/>
  <c r="F171" i="3"/>
  <c r="E516" i="3"/>
  <c r="E519" i="3" s="1"/>
  <c r="G92" i="3"/>
  <c r="G615" i="3"/>
  <c r="G618" i="3" s="1"/>
  <c r="G619" i="3" s="1"/>
  <c r="D154" i="3"/>
  <c r="D20" i="3"/>
  <c r="D82" i="3" s="1"/>
  <c r="D155" i="3"/>
  <c r="G145" i="3"/>
  <c r="H263" i="3"/>
  <c r="G179" i="3"/>
  <c r="F212" i="3"/>
  <c r="H404" i="3"/>
  <c r="G411" i="3"/>
  <c r="G664" i="3"/>
  <c r="G665" i="3" s="1"/>
  <c r="G668" i="3" s="1"/>
  <c r="G669" i="3" s="1"/>
  <c r="H659" i="3"/>
  <c r="N708" i="3"/>
  <c r="O704" i="3"/>
  <c r="O708" i="3" s="1"/>
  <c r="P704" i="3"/>
  <c r="G839" i="3"/>
  <c r="F172" i="3"/>
  <c r="E213" i="3"/>
  <c r="E25" i="3"/>
  <c r="K878" i="3"/>
  <c r="D22" i="3"/>
  <c r="F417" i="3"/>
  <c r="G413" i="3"/>
  <c r="G267" i="3"/>
  <c r="F149" i="3"/>
  <c r="J409" i="3"/>
  <c r="H453" i="3"/>
  <c r="G460" i="3"/>
  <c r="H809" i="3"/>
  <c r="G814" i="3"/>
  <c r="F808" i="3"/>
  <c r="G804" i="3"/>
  <c r="F142" i="3"/>
  <c r="F515" i="3"/>
  <c r="G510" i="3"/>
  <c r="F319" i="3"/>
  <c r="G314" i="3"/>
  <c r="F558" i="3"/>
  <c r="G551" i="3"/>
  <c r="E152" i="3"/>
  <c r="F564" i="3"/>
  <c r="G559" i="3"/>
  <c r="U212" i="3"/>
  <c r="V212" i="3"/>
  <c r="H268" i="3"/>
  <c r="G150" i="3"/>
  <c r="M604" i="3"/>
  <c r="L608" i="3"/>
  <c r="F714" i="3"/>
  <c r="G709" i="3"/>
  <c r="F368" i="3"/>
  <c r="G363" i="3"/>
  <c r="L654" i="3"/>
  <c r="K658" i="3"/>
  <c r="G833" i="3"/>
  <c r="F842" i="3"/>
  <c r="F166" i="3"/>
  <c r="F177" i="3" s="1"/>
  <c r="F24" i="3" s="1"/>
  <c r="F270" i="3"/>
  <c r="G265" i="3"/>
  <c r="F147" i="3"/>
  <c r="G355" i="3"/>
  <c r="F362" i="3"/>
  <c r="I260" i="3"/>
  <c r="G746" i="3"/>
  <c r="F134" i="3"/>
  <c r="F138" i="3" s="1"/>
  <c r="F750" i="3"/>
  <c r="F765" i="3" s="1"/>
  <c r="F768" i="3" s="1"/>
  <c r="F769" i="3" s="1"/>
  <c r="G880" i="3"/>
  <c r="F168" i="3"/>
  <c r="H758" i="3"/>
  <c r="I754" i="3"/>
  <c r="E369" i="3"/>
  <c r="E372" i="3" s="1"/>
  <c r="E373" i="3" s="1"/>
  <c r="G556" i="3"/>
  <c r="F144" i="3"/>
  <c r="I269" i="3"/>
  <c r="H151" i="3"/>
  <c r="Q215" i="3"/>
  <c r="Q156" i="3"/>
  <c r="R18" i="3"/>
  <c r="E146" i="3"/>
  <c r="E153" i="3" s="1"/>
  <c r="E94" i="3"/>
  <c r="E815" i="3"/>
  <c r="E818" i="3" s="1"/>
  <c r="E819" i="3" s="1"/>
  <c r="G502" i="3"/>
  <c r="F509" i="3"/>
  <c r="G879" i="3"/>
  <c r="F167" i="3"/>
  <c r="G860" i="3"/>
  <c r="F864" i="3"/>
  <c r="F170" i="3"/>
  <c r="F313" i="3"/>
  <c r="G306" i="3"/>
  <c r="H614" i="3"/>
  <c r="I609" i="3"/>
  <c r="F466" i="3"/>
  <c r="F467" i="3" s="1"/>
  <c r="F470" i="3" s="1"/>
  <c r="F471" i="3" s="1"/>
  <c r="G462" i="3"/>
  <c r="I859" i="3" l="1"/>
  <c r="H169" i="3"/>
  <c r="E26" i="3"/>
  <c r="F152" i="3"/>
  <c r="O836" i="3"/>
  <c r="F516" i="3"/>
  <c r="F519" i="3" s="1"/>
  <c r="E20" i="3"/>
  <c r="E155" i="3"/>
  <c r="F320" i="3"/>
  <c r="F323" i="3" s="1"/>
  <c r="F324" i="3" s="1"/>
  <c r="I758" i="3"/>
  <c r="J754" i="3"/>
  <c r="H764" i="3"/>
  <c r="I759" i="3"/>
  <c r="G509" i="3"/>
  <c r="H502" i="3"/>
  <c r="H746" i="3"/>
  <c r="G134" i="3"/>
  <c r="G138" i="3" s="1"/>
  <c r="G750" i="3"/>
  <c r="G765" i="3" s="1"/>
  <c r="G768" i="3" s="1"/>
  <c r="G769" i="3" s="1"/>
  <c r="G270" i="3"/>
  <c r="H265" i="3"/>
  <c r="G147" i="3"/>
  <c r="N604" i="3"/>
  <c r="M608" i="3"/>
  <c r="I809" i="3"/>
  <c r="H814" i="3"/>
  <c r="H267" i="3"/>
  <c r="G149" i="3"/>
  <c r="H664" i="3"/>
  <c r="I659" i="3"/>
  <c r="I263" i="3"/>
  <c r="H145" i="3"/>
  <c r="P708" i="3"/>
  <c r="H462" i="3"/>
  <c r="G466" i="3"/>
  <c r="H556" i="3"/>
  <c r="G144" i="3"/>
  <c r="J260" i="3"/>
  <c r="G564" i="3"/>
  <c r="H559" i="3"/>
  <c r="G515" i="3"/>
  <c r="H510" i="3"/>
  <c r="H413" i="3"/>
  <c r="G417" i="3"/>
  <c r="G418" i="3" s="1"/>
  <c r="G421" i="3" s="1"/>
  <c r="G422" i="3" s="1"/>
  <c r="F25" i="3"/>
  <c r="F26" i="3" s="1"/>
  <c r="F213" i="3"/>
  <c r="H363" i="3"/>
  <c r="G368" i="3"/>
  <c r="I453" i="3"/>
  <c r="H460" i="3"/>
  <c r="H839" i="3"/>
  <c r="G172" i="3"/>
  <c r="M262" i="3"/>
  <c r="I614" i="3"/>
  <c r="J609" i="3"/>
  <c r="D23" i="3"/>
  <c r="D28" i="3"/>
  <c r="D156" i="3"/>
  <c r="D215" i="3"/>
  <c r="F271" i="3"/>
  <c r="F274" i="3" s="1"/>
  <c r="H92" i="3"/>
  <c r="H615" i="3"/>
  <c r="H618" i="3" s="1"/>
  <c r="H619" i="3" s="1"/>
  <c r="H833" i="3"/>
  <c r="G166" i="3"/>
  <c r="G842" i="3"/>
  <c r="H709" i="3"/>
  <c r="G714" i="3"/>
  <c r="G715" i="3" s="1"/>
  <c r="G718" i="3" s="1"/>
  <c r="G719" i="3" s="1"/>
  <c r="G808" i="3"/>
  <c r="H804" i="3"/>
  <c r="G142" i="3"/>
  <c r="I404" i="3"/>
  <c r="H411" i="3"/>
  <c r="F146" i="3"/>
  <c r="H879" i="3"/>
  <c r="G167" i="3"/>
  <c r="G886" i="3"/>
  <c r="H355" i="3"/>
  <c r="G362" i="3"/>
  <c r="K409" i="3"/>
  <c r="P119" i="3"/>
  <c r="R118" i="3"/>
  <c r="M654" i="3"/>
  <c r="L658" i="3"/>
  <c r="H179" i="3"/>
  <c r="G212" i="3"/>
  <c r="H860" i="3"/>
  <c r="G170" i="3"/>
  <c r="G864" i="3"/>
  <c r="Q224" i="3"/>
  <c r="Q216" i="3"/>
  <c r="I268" i="3"/>
  <c r="H150" i="3"/>
  <c r="H551" i="3"/>
  <c r="G558" i="3"/>
  <c r="F418" i="3"/>
  <c r="F421" i="3" s="1"/>
  <c r="F422" i="3" s="1"/>
  <c r="F565" i="3"/>
  <c r="F568" i="3" s="1"/>
  <c r="F569" i="3" s="1"/>
  <c r="H306" i="3"/>
  <c r="G313" i="3"/>
  <c r="G320" i="3" s="1"/>
  <c r="G323" i="3" s="1"/>
  <c r="G324" i="3" s="1"/>
  <c r="J269" i="3"/>
  <c r="I151" i="3"/>
  <c r="H880" i="3"/>
  <c r="G168" i="3"/>
  <c r="F369" i="3"/>
  <c r="F372" i="3" s="1"/>
  <c r="F373" i="3" s="1"/>
  <c r="F715" i="3"/>
  <c r="F718" i="3" s="1"/>
  <c r="F719" i="3" s="1"/>
  <c r="G319" i="3"/>
  <c r="H314" i="3"/>
  <c r="F94" i="3"/>
  <c r="F815" i="3"/>
  <c r="F818" i="3" s="1"/>
  <c r="F819" i="3" s="1"/>
  <c r="L878" i="3"/>
  <c r="H838" i="3"/>
  <c r="G171" i="3"/>
  <c r="H266" i="3"/>
  <c r="G148" i="3"/>
  <c r="G264" i="3"/>
  <c r="G271" i="3" s="1"/>
  <c r="G274" i="3" s="1"/>
  <c r="H257" i="3"/>
  <c r="G139" i="3"/>
  <c r="G177" i="3" l="1"/>
  <c r="G24" i="3" s="1"/>
  <c r="G516" i="3"/>
  <c r="G519" i="3" s="1"/>
  <c r="P836" i="3"/>
  <c r="G152" i="3"/>
  <c r="J859" i="3"/>
  <c r="I169" i="3"/>
  <c r="I860" i="3"/>
  <c r="H170" i="3"/>
  <c r="H864" i="3"/>
  <c r="D38" i="3"/>
  <c r="D29" i="3"/>
  <c r="I746" i="3"/>
  <c r="H134" i="3"/>
  <c r="H750" i="3"/>
  <c r="H765" i="3" s="1"/>
  <c r="H768" i="3" s="1"/>
  <c r="H769" i="3" s="1"/>
  <c r="E156" i="3"/>
  <c r="E215" i="3"/>
  <c r="I838" i="3"/>
  <c r="H171" i="3"/>
  <c r="I880" i="3"/>
  <c r="H168" i="3"/>
  <c r="I879" i="3"/>
  <c r="H167" i="3"/>
  <c r="H886" i="3"/>
  <c r="I462" i="3"/>
  <c r="H466" i="3"/>
  <c r="H467" i="3" s="1"/>
  <c r="H470" i="3" s="1"/>
  <c r="H471" i="3" s="1"/>
  <c r="J758" i="3"/>
  <c r="K754" i="3"/>
  <c r="E82" i="3"/>
  <c r="E22" i="3"/>
  <c r="H212" i="3"/>
  <c r="I179" i="3"/>
  <c r="H714" i="3"/>
  <c r="H715" i="3" s="1"/>
  <c r="H718" i="3" s="1"/>
  <c r="H719" i="3" s="1"/>
  <c r="I709" i="3"/>
  <c r="H139" i="3"/>
  <c r="H264" i="3"/>
  <c r="I257" i="3"/>
  <c r="K269" i="3"/>
  <c r="J151" i="3"/>
  <c r="I411" i="3"/>
  <c r="J404" i="3"/>
  <c r="D224" i="3"/>
  <c r="D225" i="3" s="1"/>
  <c r="D216" i="3"/>
  <c r="H368" i="3"/>
  <c r="I363" i="3"/>
  <c r="G467" i="3"/>
  <c r="G470" i="3" s="1"/>
  <c r="G471" i="3" s="1"/>
  <c r="K260" i="3"/>
  <c r="I460" i="3"/>
  <c r="J453" i="3"/>
  <c r="I502" i="3"/>
  <c r="H509" i="3"/>
  <c r="G146" i="3"/>
  <c r="H418" i="3"/>
  <c r="H421" i="3" s="1"/>
  <c r="H422" i="3" s="1"/>
  <c r="I92" i="3"/>
  <c r="I615" i="3"/>
  <c r="I618" i="3" s="1"/>
  <c r="I619" i="3" s="1"/>
  <c r="H147" i="3"/>
  <c r="H270" i="3"/>
  <c r="I265" i="3"/>
  <c r="M878" i="3"/>
  <c r="Q225" i="3"/>
  <c r="S224" i="3"/>
  <c r="N654" i="3"/>
  <c r="M658" i="3"/>
  <c r="G369" i="3"/>
  <c r="G372" i="3" s="1"/>
  <c r="G373" i="3" s="1"/>
  <c r="N262" i="3"/>
  <c r="I510" i="3"/>
  <c r="H515" i="3"/>
  <c r="J263" i="3"/>
  <c r="I145" i="3"/>
  <c r="J809" i="3"/>
  <c r="I814" i="3"/>
  <c r="F153" i="3"/>
  <c r="G213" i="3"/>
  <c r="G25" i="3"/>
  <c r="H417" i="3"/>
  <c r="I413" i="3"/>
  <c r="G565" i="3"/>
  <c r="G568" i="3" s="1"/>
  <c r="G569" i="3" s="1"/>
  <c r="I804" i="3"/>
  <c r="H808" i="3"/>
  <c r="H142" i="3"/>
  <c r="I556" i="3"/>
  <c r="H144" i="3"/>
  <c r="J659" i="3"/>
  <c r="I664" i="3"/>
  <c r="I665" i="3" s="1"/>
  <c r="I668" i="3" s="1"/>
  <c r="I669" i="3" s="1"/>
  <c r="I314" i="3"/>
  <c r="H319" i="3"/>
  <c r="J268" i="3"/>
  <c r="I150" i="3"/>
  <c r="K609" i="3"/>
  <c r="J614" i="3"/>
  <c r="I267" i="3"/>
  <c r="H149" i="3"/>
  <c r="L409" i="3"/>
  <c r="H362" i="3"/>
  <c r="I355" i="3"/>
  <c r="I266" i="3"/>
  <c r="H148" i="3"/>
  <c r="H313" i="3"/>
  <c r="I306" i="3"/>
  <c r="I551" i="3"/>
  <c r="H558" i="3"/>
  <c r="R119" i="3"/>
  <c r="G94" i="3"/>
  <c r="G815" i="3"/>
  <c r="G818" i="3" s="1"/>
  <c r="G819" i="3" s="1"/>
  <c r="I833" i="3"/>
  <c r="H842" i="3"/>
  <c r="H166" i="3"/>
  <c r="I839" i="3"/>
  <c r="H172" i="3"/>
  <c r="H564" i="3"/>
  <c r="I559" i="3"/>
  <c r="H665" i="3"/>
  <c r="H668" i="3" s="1"/>
  <c r="H669" i="3" s="1"/>
  <c r="O604" i="3"/>
  <c r="O608" i="3" s="1"/>
  <c r="N608" i="3"/>
  <c r="P604" i="3"/>
  <c r="G153" i="3"/>
  <c r="I764" i="3"/>
  <c r="J759" i="3"/>
  <c r="K859" i="3" l="1"/>
  <c r="J169" i="3"/>
  <c r="H177" i="3"/>
  <c r="H24" i="3" s="1"/>
  <c r="H320" i="3"/>
  <c r="H323" i="3" s="1"/>
  <c r="H324" i="3" s="1"/>
  <c r="G26" i="3"/>
  <c r="J814" i="3"/>
  <c r="K809" i="3"/>
  <c r="J880" i="3"/>
  <c r="I168" i="3"/>
  <c r="J411" i="3"/>
  <c r="K404" i="3"/>
  <c r="E28" i="3"/>
  <c r="E23" i="3"/>
  <c r="H138" i="3"/>
  <c r="J839" i="3"/>
  <c r="I172" i="3"/>
  <c r="J266" i="3"/>
  <c r="I148" i="3"/>
  <c r="J556" i="3"/>
  <c r="I144" i="3"/>
  <c r="K263" i="3"/>
  <c r="J145" i="3"/>
  <c r="H516" i="3"/>
  <c r="H519" i="3" s="1"/>
  <c r="L260" i="3"/>
  <c r="H146" i="3"/>
  <c r="J746" i="3"/>
  <c r="I134" i="3"/>
  <c r="I138" i="3" s="1"/>
  <c r="I750" i="3"/>
  <c r="I765" i="3" s="1"/>
  <c r="I768" i="3" s="1"/>
  <c r="I769" i="3" s="1"/>
  <c r="J860" i="3"/>
  <c r="I170" i="3"/>
  <c r="I864" i="3"/>
  <c r="J664" i="3"/>
  <c r="K659" i="3"/>
  <c r="I466" i="3"/>
  <c r="I467" i="3" s="1"/>
  <c r="I470" i="3" s="1"/>
  <c r="I471" i="3" s="1"/>
  <c r="J462" i="3"/>
  <c r="K268" i="3"/>
  <c r="J150" i="3"/>
  <c r="I417" i="3"/>
  <c r="J413" i="3"/>
  <c r="I270" i="3"/>
  <c r="J265" i="3"/>
  <c r="I147" i="3"/>
  <c r="I152" i="3" s="1"/>
  <c r="H271" i="3"/>
  <c r="H274" i="3" s="1"/>
  <c r="P608" i="3"/>
  <c r="J267" i="3"/>
  <c r="I149" i="3"/>
  <c r="H565" i="3"/>
  <c r="H568" i="3" s="1"/>
  <c r="H569" i="3" s="1"/>
  <c r="I362" i="3"/>
  <c r="J355" i="3"/>
  <c r="J314" i="3"/>
  <c r="I319" i="3"/>
  <c r="O654" i="3"/>
  <c r="O658" i="3" s="1"/>
  <c r="N658" i="3"/>
  <c r="H152" i="3"/>
  <c r="I509" i="3"/>
  <c r="J502" i="3"/>
  <c r="I714" i="3"/>
  <c r="J709" i="3"/>
  <c r="J838" i="3"/>
  <c r="I171" i="3"/>
  <c r="N878" i="3"/>
  <c r="I558" i="3"/>
  <c r="J551" i="3"/>
  <c r="I368" i="3"/>
  <c r="J363" i="3"/>
  <c r="K758" i="3"/>
  <c r="L754" i="3"/>
  <c r="J879" i="3"/>
  <c r="I167" i="3"/>
  <c r="I886" i="3"/>
  <c r="E224" i="3"/>
  <c r="E225" i="3" s="1"/>
  <c r="E216" i="3"/>
  <c r="J92" i="3"/>
  <c r="J615" i="3"/>
  <c r="J618" i="3" s="1"/>
  <c r="J619" i="3" s="1"/>
  <c r="F20" i="3"/>
  <c r="F155" i="3"/>
  <c r="J510" i="3"/>
  <c r="I515" i="3"/>
  <c r="J179" i="3"/>
  <c r="I212" i="3"/>
  <c r="D39" i="3"/>
  <c r="D40" i="3"/>
  <c r="G20" i="3"/>
  <c r="G155" i="3"/>
  <c r="J559" i="3"/>
  <c r="I564" i="3"/>
  <c r="M409" i="3"/>
  <c r="J804" i="3"/>
  <c r="I808" i="3"/>
  <c r="I142" i="3"/>
  <c r="O262" i="3"/>
  <c r="P262" i="3"/>
  <c r="J257" i="3"/>
  <c r="I139" i="3"/>
  <c r="I264" i="3"/>
  <c r="I271" i="3" s="1"/>
  <c r="I274" i="3" s="1"/>
  <c r="H369" i="3"/>
  <c r="H372" i="3" s="1"/>
  <c r="H373" i="3" s="1"/>
  <c r="K453" i="3"/>
  <c r="J460" i="3"/>
  <c r="K759" i="3"/>
  <c r="J764" i="3"/>
  <c r="J833" i="3"/>
  <c r="I166" i="3"/>
  <c r="I842" i="3"/>
  <c r="I313" i="3"/>
  <c r="I320" i="3" s="1"/>
  <c r="I323" i="3" s="1"/>
  <c r="I324" i="3" s="1"/>
  <c r="J306" i="3"/>
  <c r="L609" i="3"/>
  <c r="K614" i="3"/>
  <c r="H94" i="3"/>
  <c r="H815" i="3"/>
  <c r="H818" i="3" s="1"/>
  <c r="H819" i="3" s="1"/>
  <c r="L269" i="3"/>
  <c r="K151" i="3"/>
  <c r="H213" i="3"/>
  <c r="H25" i="3"/>
  <c r="H26" i="3" l="1"/>
  <c r="I369" i="3"/>
  <c r="I372" i="3" s="1"/>
  <c r="I373" i="3" s="1"/>
  <c r="I516" i="3"/>
  <c r="I519" i="3" s="1"/>
  <c r="L859" i="3"/>
  <c r="K169" i="3"/>
  <c r="I177" i="3"/>
  <c r="I24" i="3" s="1"/>
  <c r="J264" i="3"/>
  <c r="J139" i="3"/>
  <c r="K257" i="3"/>
  <c r="F82" i="3"/>
  <c r="F22" i="3"/>
  <c r="J362" i="3"/>
  <c r="K355" i="3"/>
  <c r="N409" i="3"/>
  <c r="L268" i="3"/>
  <c r="K150" i="3"/>
  <c r="K860" i="3"/>
  <c r="J170" i="3"/>
  <c r="J864" i="3"/>
  <c r="M260" i="3"/>
  <c r="K839" i="3"/>
  <c r="J172" i="3"/>
  <c r="J212" i="3"/>
  <c r="K179" i="3"/>
  <c r="M754" i="3"/>
  <c r="L758" i="3"/>
  <c r="O878" i="3"/>
  <c r="K265" i="3"/>
  <c r="J147" i="3"/>
  <c r="J270" i="3"/>
  <c r="J466" i="3"/>
  <c r="J467" i="3" s="1"/>
  <c r="J470" i="3" s="1"/>
  <c r="J471" i="3" s="1"/>
  <c r="K462" i="3"/>
  <c r="M269" i="3"/>
  <c r="L151" i="3"/>
  <c r="K460" i="3"/>
  <c r="L453" i="3"/>
  <c r="K559" i="3"/>
  <c r="J564" i="3"/>
  <c r="P654" i="3"/>
  <c r="K556" i="3"/>
  <c r="J144" i="3"/>
  <c r="K880" i="3"/>
  <c r="J168" i="3"/>
  <c r="G156" i="3"/>
  <c r="G215" i="3"/>
  <c r="J368" i="3"/>
  <c r="K363" i="3"/>
  <c r="K838" i="3"/>
  <c r="J171" i="3"/>
  <c r="K267" i="3"/>
  <c r="J149" i="3"/>
  <c r="J417" i="3"/>
  <c r="K413" i="3"/>
  <c r="K746" i="3"/>
  <c r="J134" i="3"/>
  <c r="J138" i="3" s="1"/>
  <c r="J750" i="3"/>
  <c r="J765" i="3" s="1"/>
  <c r="J768" i="3" s="1"/>
  <c r="J769" i="3" s="1"/>
  <c r="H153" i="3"/>
  <c r="L759" i="3"/>
  <c r="K764" i="3"/>
  <c r="I25" i="3"/>
  <c r="K879" i="3"/>
  <c r="J167" i="3"/>
  <c r="J886" i="3"/>
  <c r="L263" i="3"/>
  <c r="K145" i="3"/>
  <c r="G82" i="3"/>
  <c r="G22" i="3"/>
  <c r="J714" i="3"/>
  <c r="J715" i="3" s="1"/>
  <c r="J718" i="3" s="1"/>
  <c r="J719" i="3" s="1"/>
  <c r="K709" i="3"/>
  <c r="K664" i="3"/>
  <c r="K665" i="3" s="1"/>
  <c r="K668" i="3" s="1"/>
  <c r="K669" i="3" s="1"/>
  <c r="L659" i="3"/>
  <c r="P658" i="3"/>
  <c r="K814" i="3"/>
  <c r="L809" i="3"/>
  <c r="K92" i="3"/>
  <c r="K615" i="3"/>
  <c r="K618" i="3" s="1"/>
  <c r="K619" i="3" s="1"/>
  <c r="I94" i="3"/>
  <c r="I815" i="3"/>
  <c r="I818" i="3" s="1"/>
  <c r="I819" i="3" s="1"/>
  <c r="J515" i="3"/>
  <c r="K510" i="3"/>
  <c r="J558" i="3"/>
  <c r="K551" i="3"/>
  <c r="I715" i="3"/>
  <c r="I718" i="3" s="1"/>
  <c r="I719" i="3" s="1"/>
  <c r="J665" i="3"/>
  <c r="J668" i="3" s="1"/>
  <c r="J669" i="3" s="1"/>
  <c r="I418" i="3"/>
  <c r="I421" i="3" s="1"/>
  <c r="I422" i="3" s="1"/>
  <c r="K266" i="3"/>
  <c r="J148" i="3"/>
  <c r="E38" i="3"/>
  <c r="E29" i="3"/>
  <c r="L614" i="3"/>
  <c r="M609" i="3"/>
  <c r="K833" i="3"/>
  <c r="J166" i="3"/>
  <c r="J842" i="3"/>
  <c r="I146" i="3"/>
  <c r="I153" i="3" s="1"/>
  <c r="K804" i="3"/>
  <c r="J808" i="3"/>
  <c r="J142" i="3"/>
  <c r="F215" i="3"/>
  <c r="F156" i="3"/>
  <c r="I565" i="3"/>
  <c r="I568" i="3" s="1"/>
  <c r="I569" i="3" s="1"/>
  <c r="J509" i="3"/>
  <c r="J516" i="3" s="1"/>
  <c r="J519" i="3" s="1"/>
  <c r="K502" i="3"/>
  <c r="J319" i="3"/>
  <c r="K314" i="3"/>
  <c r="K411" i="3"/>
  <c r="L404" i="3"/>
  <c r="J313" i="3"/>
  <c r="J320" i="3" s="1"/>
  <c r="J323" i="3" s="1"/>
  <c r="J324" i="3" s="1"/>
  <c r="K306" i="3"/>
  <c r="I26" i="3" l="1"/>
  <c r="M859" i="3"/>
  <c r="L169" i="3"/>
  <c r="J177" i="3"/>
  <c r="J24" i="3" s="1"/>
  <c r="I213" i="3"/>
  <c r="J369" i="3"/>
  <c r="J372" i="3" s="1"/>
  <c r="J373" i="3" s="1"/>
  <c r="I20" i="3"/>
  <c r="I155" i="3"/>
  <c r="K313" i="3"/>
  <c r="L306" i="3"/>
  <c r="F224" i="3"/>
  <c r="F225" i="3" s="1"/>
  <c r="F216" i="3"/>
  <c r="L833" i="3"/>
  <c r="K166" i="3"/>
  <c r="K842" i="3"/>
  <c r="K558" i="3"/>
  <c r="L551" i="3"/>
  <c r="G28" i="3"/>
  <c r="G23" i="3"/>
  <c r="K509" i="3"/>
  <c r="L502" i="3"/>
  <c r="K808" i="3"/>
  <c r="L804" i="3"/>
  <c r="K142" i="3"/>
  <c r="L92" i="3"/>
  <c r="L615" i="3"/>
  <c r="L618" i="3" s="1"/>
  <c r="L619" i="3" s="1"/>
  <c r="K515" i="3"/>
  <c r="L510" i="3"/>
  <c r="M263" i="3"/>
  <c r="L145" i="3"/>
  <c r="M759" i="3"/>
  <c r="L764" i="3"/>
  <c r="N269" i="3"/>
  <c r="M151" i="3"/>
  <c r="J418" i="3"/>
  <c r="J421" i="3" s="1"/>
  <c r="J422" i="3" s="1"/>
  <c r="J146" i="3"/>
  <c r="J271" i="3"/>
  <c r="J274" i="3" s="1"/>
  <c r="L413" i="3"/>
  <c r="K417" i="3"/>
  <c r="L860" i="3"/>
  <c r="K170" i="3"/>
  <c r="K864" i="3"/>
  <c r="E40" i="3"/>
  <c r="E39" i="3"/>
  <c r="L814" i="3"/>
  <c r="M809" i="3"/>
  <c r="K714" i="3"/>
  <c r="L709" i="3"/>
  <c r="L879" i="3"/>
  <c r="K167" i="3"/>
  <c r="K886" i="3"/>
  <c r="H20" i="3"/>
  <c r="H155" i="3"/>
  <c r="K368" i="3"/>
  <c r="L363" i="3"/>
  <c r="L559" i="3"/>
  <c r="K564" i="3"/>
  <c r="L462" i="3"/>
  <c r="K466" i="3"/>
  <c r="P878" i="3"/>
  <c r="L839" i="3"/>
  <c r="K172" i="3"/>
  <c r="M268" i="3"/>
  <c r="L150" i="3"/>
  <c r="F28" i="3"/>
  <c r="F23" i="3"/>
  <c r="L880" i="3"/>
  <c r="K168" i="3"/>
  <c r="K362" i="3"/>
  <c r="L355" i="3"/>
  <c r="L460" i="3"/>
  <c r="M453" i="3"/>
  <c r="N754" i="3"/>
  <c r="M758" i="3"/>
  <c r="K148" i="3"/>
  <c r="L266" i="3"/>
  <c r="J565" i="3"/>
  <c r="J568" i="3" s="1"/>
  <c r="J569" i="3" s="1"/>
  <c r="K149" i="3"/>
  <c r="L267" i="3"/>
  <c r="L556" i="3"/>
  <c r="K144" i="3"/>
  <c r="K467" i="3"/>
  <c r="K470" i="3" s="1"/>
  <c r="K471" i="3" s="1"/>
  <c r="J152" i="3"/>
  <c r="K212" i="3"/>
  <c r="L179" i="3"/>
  <c r="N260" i="3"/>
  <c r="O409" i="3"/>
  <c r="L838" i="3"/>
  <c r="K171" i="3"/>
  <c r="G224" i="3"/>
  <c r="G225" i="3" s="1"/>
  <c r="G216" i="3"/>
  <c r="L314" i="3"/>
  <c r="K319" i="3"/>
  <c r="L411" i="3"/>
  <c r="M404" i="3"/>
  <c r="J94" i="3"/>
  <c r="J815" i="3"/>
  <c r="J818" i="3" s="1"/>
  <c r="J819" i="3" s="1"/>
  <c r="M614" i="3"/>
  <c r="N609" i="3"/>
  <c r="L664" i="3"/>
  <c r="M659" i="3"/>
  <c r="L746" i="3"/>
  <c r="K134" i="3"/>
  <c r="K750" i="3"/>
  <c r="K765" i="3" s="1"/>
  <c r="K768" i="3" s="1"/>
  <c r="K769" i="3" s="1"/>
  <c r="K147" i="3"/>
  <c r="K152" i="3" s="1"/>
  <c r="K270" i="3"/>
  <c r="L265" i="3"/>
  <c r="J213" i="3"/>
  <c r="J25" i="3"/>
  <c r="K264" i="3"/>
  <c r="L257" i="3"/>
  <c r="K139" i="3"/>
  <c r="J26" i="3" l="1"/>
  <c r="N859" i="3"/>
  <c r="M169" i="3"/>
  <c r="K177" i="3"/>
  <c r="K24" i="3" s="1"/>
  <c r="K26" i="3" s="1"/>
  <c r="P269" i="3"/>
  <c r="L270" i="3"/>
  <c r="M265" i="3"/>
  <c r="L147" i="3"/>
  <c r="L368" i="3"/>
  <c r="M363" i="3"/>
  <c r="N759" i="3"/>
  <c r="M764" i="3"/>
  <c r="K715" i="3"/>
  <c r="K718" i="3" s="1"/>
  <c r="K719" i="3" s="1"/>
  <c r="L808" i="3"/>
  <c r="M804" i="3"/>
  <c r="L142" i="3"/>
  <c r="L264" i="3"/>
  <c r="L271" i="3" s="1"/>
  <c r="L274" i="3" s="1"/>
  <c r="M257" i="3"/>
  <c r="L139" i="3"/>
  <c r="M92" i="3"/>
  <c r="M615" i="3"/>
  <c r="M618" i="3" s="1"/>
  <c r="M619" i="3" s="1"/>
  <c r="O260" i="3"/>
  <c r="P260" i="3"/>
  <c r="M267" i="3"/>
  <c r="L149" i="3"/>
  <c r="M839" i="3"/>
  <c r="L172" i="3"/>
  <c r="H82" i="3"/>
  <c r="H22" i="3"/>
  <c r="L515" i="3"/>
  <c r="M510" i="3"/>
  <c r="I82" i="3"/>
  <c r="I22" i="3"/>
  <c r="L714" i="3"/>
  <c r="L715" i="3" s="1"/>
  <c r="L718" i="3" s="1"/>
  <c r="L719" i="3" s="1"/>
  <c r="M709" i="3"/>
  <c r="M355" i="3"/>
  <c r="L362" i="3"/>
  <c r="K146" i="3"/>
  <c r="M814" i="3"/>
  <c r="N809" i="3"/>
  <c r="I215" i="3"/>
  <c r="I156" i="3"/>
  <c r="K271" i="3"/>
  <c r="K274" i="3" s="1"/>
  <c r="K138" i="3"/>
  <c r="K153" i="3" s="1"/>
  <c r="L212" i="3"/>
  <c r="M179" i="3"/>
  <c r="O754" i="3"/>
  <c r="O758" i="3" s="1"/>
  <c r="N758" i="3"/>
  <c r="P758" i="3" s="1"/>
  <c r="L466" i="3"/>
  <c r="M462" i="3"/>
  <c r="L509" i="3"/>
  <c r="M502" i="3"/>
  <c r="G38" i="3"/>
  <c r="G29" i="3"/>
  <c r="L319" i="3"/>
  <c r="M314" i="3"/>
  <c r="M266" i="3"/>
  <c r="L148" i="3"/>
  <c r="M306" i="3"/>
  <c r="L313" i="3"/>
  <c r="N614" i="3"/>
  <c r="O609" i="3"/>
  <c r="O614" i="3" s="1"/>
  <c r="P609" i="3"/>
  <c r="M556" i="3"/>
  <c r="L144" i="3"/>
  <c r="K369" i="3"/>
  <c r="K372" i="3" s="1"/>
  <c r="K373" i="3" s="1"/>
  <c r="H215" i="3"/>
  <c r="H156" i="3"/>
  <c r="L417" i="3"/>
  <c r="M413" i="3"/>
  <c r="N263" i="3"/>
  <c r="M145" i="3"/>
  <c r="K815" i="3"/>
  <c r="K818" i="3" s="1"/>
  <c r="K819" i="3" s="1"/>
  <c r="K94" i="3"/>
  <c r="K565" i="3"/>
  <c r="K568" i="3" s="1"/>
  <c r="K569" i="3" s="1"/>
  <c r="M746" i="3"/>
  <c r="L134" i="3"/>
  <c r="L138" i="3" s="1"/>
  <c r="L750" i="3"/>
  <c r="L765" i="3" s="1"/>
  <c r="L768" i="3" s="1"/>
  <c r="L769" i="3" s="1"/>
  <c r="K25" i="3"/>
  <c r="J153" i="3"/>
  <c r="N453" i="3"/>
  <c r="M460" i="3"/>
  <c r="M880" i="3"/>
  <c r="L168" i="3"/>
  <c r="O269" i="3"/>
  <c r="O151" i="3" s="1"/>
  <c r="N151" i="3"/>
  <c r="P151" i="3" s="1"/>
  <c r="K516" i="3"/>
  <c r="K519" i="3" s="1"/>
  <c r="M833" i="3"/>
  <c r="L166" i="3"/>
  <c r="L842" i="3"/>
  <c r="M860" i="3"/>
  <c r="L170" i="3"/>
  <c r="L864" i="3"/>
  <c r="P409" i="3"/>
  <c r="N268" i="3"/>
  <c r="M150" i="3"/>
  <c r="L558" i="3"/>
  <c r="M551" i="3"/>
  <c r="K320" i="3"/>
  <c r="K323" i="3" s="1"/>
  <c r="K324" i="3" s="1"/>
  <c r="M664" i="3"/>
  <c r="M665" i="3" s="1"/>
  <c r="M668" i="3" s="1"/>
  <c r="M669" i="3" s="1"/>
  <c r="N659" i="3"/>
  <c r="N404" i="3"/>
  <c r="M411" i="3"/>
  <c r="L467" i="3"/>
  <c r="L470" i="3" s="1"/>
  <c r="L471" i="3" s="1"/>
  <c r="M879" i="3"/>
  <c r="L167" i="3"/>
  <c r="L886" i="3"/>
  <c r="K418" i="3"/>
  <c r="K421" i="3" s="1"/>
  <c r="K422" i="3" s="1"/>
  <c r="P754" i="3"/>
  <c r="L665" i="3"/>
  <c r="L668" i="3" s="1"/>
  <c r="L669" i="3" s="1"/>
  <c r="M838" i="3"/>
  <c r="L171" i="3"/>
  <c r="F38" i="3"/>
  <c r="F29" i="3"/>
  <c r="L564" i="3"/>
  <c r="M559" i="3"/>
  <c r="L565" i="3" l="1"/>
  <c r="L568" i="3" s="1"/>
  <c r="L569" i="3" s="1"/>
  <c r="L177" i="3"/>
  <c r="L24" i="3" s="1"/>
  <c r="O859" i="3"/>
  <c r="N169" i="3"/>
  <c r="K213" i="3"/>
  <c r="L152" i="3"/>
  <c r="K20" i="3"/>
  <c r="K155" i="3"/>
  <c r="M515" i="3"/>
  <c r="N510" i="3"/>
  <c r="M558" i="3"/>
  <c r="N551" i="3"/>
  <c r="J20" i="3"/>
  <c r="J155" i="3"/>
  <c r="H224" i="3"/>
  <c r="H225" i="3" s="1"/>
  <c r="H216" i="3"/>
  <c r="L320" i="3"/>
  <c r="L323" i="3" s="1"/>
  <c r="L324" i="3" s="1"/>
  <c r="G40" i="3"/>
  <c r="G39" i="3"/>
  <c r="M362" i="3"/>
  <c r="N355" i="3"/>
  <c r="L94" i="3"/>
  <c r="L815" i="3"/>
  <c r="L818" i="3" s="1"/>
  <c r="L819" i="3" s="1"/>
  <c r="N746" i="3"/>
  <c r="M134" i="3"/>
  <c r="M138" i="3" s="1"/>
  <c r="M750" i="3"/>
  <c r="M765" i="3" s="1"/>
  <c r="M768" i="3" s="1"/>
  <c r="M769" i="3" s="1"/>
  <c r="M319" i="3"/>
  <c r="N314" i="3"/>
  <c r="N460" i="3"/>
  <c r="O453" i="3"/>
  <c r="L369" i="3"/>
  <c r="L372" i="3" s="1"/>
  <c r="L373" i="3" s="1"/>
  <c r="N860" i="3"/>
  <c r="M170" i="3"/>
  <c r="M864" i="3"/>
  <c r="M313" i="3"/>
  <c r="N306" i="3"/>
  <c r="I224" i="3"/>
  <c r="I225" i="3" s="1"/>
  <c r="I216" i="3"/>
  <c r="M714" i="3"/>
  <c r="N709" i="3"/>
  <c r="N664" i="3"/>
  <c r="N665" i="3" s="1"/>
  <c r="N668" i="3" s="1"/>
  <c r="N669" i="3" s="1"/>
  <c r="O659" i="3"/>
  <c r="O664" i="3" s="1"/>
  <c r="O665" i="3" s="1"/>
  <c r="O668" i="3" s="1"/>
  <c r="O669" i="3" s="1"/>
  <c r="P659" i="3"/>
  <c r="N413" i="3"/>
  <c r="M417" i="3"/>
  <c r="N92" i="3"/>
  <c r="N615" i="3"/>
  <c r="N618" i="3" s="1"/>
  <c r="N619" i="3" s="1"/>
  <c r="P614" i="3"/>
  <c r="P615" i="3" s="1"/>
  <c r="P618" i="3" s="1"/>
  <c r="P619" i="3" s="1"/>
  <c r="N838" i="3"/>
  <c r="M171" i="3"/>
  <c r="M212" i="3"/>
  <c r="N179" i="3"/>
  <c r="N839" i="3"/>
  <c r="M172" i="3"/>
  <c r="M270" i="3"/>
  <c r="N265" i="3"/>
  <c r="M147" i="3"/>
  <c r="O92" i="3"/>
  <c r="O615" i="3"/>
  <c r="O618" i="3" s="1"/>
  <c r="O619" i="3" s="1"/>
  <c r="N462" i="3"/>
  <c r="M466" i="3"/>
  <c r="M467" i="3" s="1"/>
  <c r="M470" i="3" s="1"/>
  <c r="M471" i="3" s="1"/>
  <c r="N363" i="3"/>
  <c r="M368" i="3"/>
  <c r="M808" i="3"/>
  <c r="N804" i="3"/>
  <c r="M142" i="3"/>
  <c r="M564" i="3"/>
  <c r="N559" i="3"/>
  <c r="L418" i="3"/>
  <c r="L421" i="3" s="1"/>
  <c r="L422" i="3" s="1"/>
  <c r="M418" i="3"/>
  <c r="M421" i="3" s="1"/>
  <c r="M422" i="3" s="1"/>
  <c r="M148" i="3"/>
  <c r="N266" i="3"/>
  <c r="M509" i="3"/>
  <c r="N502" i="3"/>
  <c r="L213" i="3"/>
  <c r="L25" i="3"/>
  <c r="O809" i="3"/>
  <c r="N814" i="3"/>
  <c r="I28" i="3"/>
  <c r="I23" i="3"/>
  <c r="L146" i="3"/>
  <c r="N833" i="3"/>
  <c r="M166" i="3"/>
  <c r="M177" i="3" s="1"/>
  <c r="M24" i="3" s="1"/>
  <c r="M842" i="3"/>
  <c r="F40" i="3"/>
  <c r="F39" i="3"/>
  <c r="H28" i="3"/>
  <c r="H23" i="3"/>
  <c r="N879" i="3"/>
  <c r="M167" i="3"/>
  <c r="M886" i="3"/>
  <c r="N411" i="3"/>
  <c r="O404" i="3"/>
  <c r="O268" i="3"/>
  <c r="N150" i="3"/>
  <c r="N880" i="3"/>
  <c r="M168" i="3"/>
  <c r="O263" i="3"/>
  <c r="N145" i="3"/>
  <c r="N556" i="3"/>
  <c r="M144" i="3"/>
  <c r="L516" i="3"/>
  <c r="L519" i="3" s="1"/>
  <c r="N267" i="3"/>
  <c r="M149" i="3"/>
  <c r="M264" i="3"/>
  <c r="N257" i="3"/>
  <c r="M139" i="3"/>
  <c r="N764" i="3"/>
  <c r="O759" i="3"/>
  <c r="O169" i="3" l="1"/>
  <c r="P169" i="3" s="1"/>
  <c r="P859" i="3"/>
  <c r="L153" i="3"/>
  <c r="L155" i="3" s="1"/>
  <c r="L26" i="3"/>
  <c r="L20" i="3"/>
  <c r="O556" i="3"/>
  <c r="O144" i="3" s="1"/>
  <c r="N144" i="3"/>
  <c r="H38" i="3"/>
  <c r="H29" i="3"/>
  <c r="J156" i="3"/>
  <c r="J215" i="3"/>
  <c r="J82" i="3"/>
  <c r="J22" i="3"/>
  <c r="O764" i="3"/>
  <c r="P759" i="3"/>
  <c r="I38" i="3"/>
  <c r="I29" i="3"/>
  <c r="O462" i="3"/>
  <c r="O466" i="3" s="1"/>
  <c r="N466" i="3"/>
  <c r="N467" i="3" s="1"/>
  <c r="N470" i="3" s="1"/>
  <c r="N471" i="3" s="1"/>
  <c r="K215" i="3"/>
  <c r="K156" i="3"/>
  <c r="P764" i="3"/>
  <c r="P814" i="3"/>
  <c r="M213" i="3"/>
  <c r="M25" i="3"/>
  <c r="M26" i="3" s="1"/>
  <c r="M715" i="3"/>
  <c r="M718" i="3" s="1"/>
  <c r="M719" i="3" s="1"/>
  <c r="O860" i="3"/>
  <c r="N170" i="3"/>
  <c r="N864" i="3"/>
  <c r="K82" i="3"/>
  <c r="K22" i="3"/>
  <c r="O411" i="3"/>
  <c r="P404" i="3"/>
  <c r="O838" i="3"/>
  <c r="N171" i="3"/>
  <c r="M320" i="3"/>
  <c r="M323" i="3" s="1"/>
  <c r="M324" i="3" s="1"/>
  <c r="O502" i="3"/>
  <c r="N509" i="3"/>
  <c r="N368" i="3"/>
  <c r="O363" i="3"/>
  <c r="O368" i="3" s="1"/>
  <c r="M516" i="3"/>
  <c r="M519" i="3" s="1"/>
  <c r="M146" i="3"/>
  <c r="O880" i="3"/>
  <c r="O168" i="3" s="1"/>
  <c r="N168" i="3"/>
  <c r="O879" i="3"/>
  <c r="N167" i="3"/>
  <c r="N886" i="3"/>
  <c r="O814" i="3"/>
  <c r="P809" i="3"/>
  <c r="P411" i="3"/>
  <c r="N808" i="3"/>
  <c r="O804" i="3"/>
  <c r="N142" i="3"/>
  <c r="N558" i="3"/>
  <c r="O551" i="3"/>
  <c r="P551" i="3" s="1"/>
  <c r="P462" i="3"/>
  <c r="N515" i="3"/>
  <c r="O510" i="3"/>
  <c r="O145" i="3"/>
  <c r="P145" i="3" s="1"/>
  <c r="P263" i="3"/>
  <c r="O839" i="3"/>
  <c r="N172" i="3"/>
  <c r="N362" i="3"/>
  <c r="O355" i="3"/>
  <c r="O362" i="3" s="1"/>
  <c r="P355" i="3"/>
  <c r="N148" i="3"/>
  <c r="O266" i="3"/>
  <c r="O179" i="3"/>
  <c r="N212" i="3"/>
  <c r="N714" i="3"/>
  <c r="N715" i="3" s="1"/>
  <c r="N718" i="3" s="1"/>
  <c r="N719" i="3" s="1"/>
  <c r="O709" i="3"/>
  <c r="O257" i="3"/>
  <c r="P257" i="3" s="1"/>
  <c r="N264" i="3"/>
  <c r="N139" i="3"/>
  <c r="N146" i="3" s="1"/>
  <c r="P556" i="3"/>
  <c r="P664" i="3"/>
  <c r="P665" i="3" s="1"/>
  <c r="P668" i="3" s="1"/>
  <c r="P669" i="3" s="1"/>
  <c r="O833" i="3"/>
  <c r="N166" i="3"/>
  <c r="N842" i="3"/>
  <c r="M94" i="3"/>
  <c r="M815" i="3"/>
  <c r="M818" i="3" s="1"/>
  <c r="M819" i="3" s="1"/>
  <c r="M152" i="3"/>
  <c r="M565" i="3"/>
  <c r="M568" i="3" s="1"/>
  <c r="M569" i="3" s="1"/>
  <c r="N564" i="3"/>
  <c r="O559" i="3"/>
  <c r="N149" i="3"/>
  <c r="O267" i="3"/>
  <c r="O314" i="3"/>
  <c r="O319" i="3" s="1"/>
  <c r="N319" i="3"/>
  <c r="M369" i="3"/>
  <c r="M372" i="3" s="1"/>
  <c r="M373" i="3" s="1"/>
  <c r="M271" i="3"/>
  <c r="M274" i="3" s="1"/>
  <c r="P144" i="3"/>
  <c r="O150" i="3"/>
  <c r="P150" i="3" s="1"/>
  <c r="P268" i="3"/>
  <c r="P266" i="3"/>
  <c r="N270" i="3"/>
  <c r="O265" i="3"/>
  <c r="N147" i="3"/>
  <c r="P265" i="3"/>
  <c r="O413" i="3"/>
  <c r="O417" i="3" s="1"/>
  <c r="N417" i="3"/>
  <c r="N418" i="3" s="1"/>
  <c r="N421" i="3" s="1"/>
  <c r="N422" i="3" s="1"/>
  <c r="O306" i="3"/>
  <c r="O313" i="3" s="1"/>
  <c r="N313" i="3"/>
  <c r="P313" i="3" s="1"/>
  <c r="P306" i="3"/>
  <c r="O460" i="3"/>
  <c r="O467" i="3" s="1"/>
  <c r="O470" i="3" s="1"/>
  <c r="O471" i="3" s="1"/>
  <c r="P453" i="3"/>
  <c r="O746" i="3"/>
  <c r="N134" i="3"/>
  <c r="N750" i="3"/>
  <c r="N765" i="3" s="1"/>
  <c r="N768" i="3" s="1"/>
  <c r="N769" i="3" s="1"/>
  <c r="N177" i="3" l="1"/>
  <c r="N24" i="3" s="1"/>
  <c r="P417" i="3"/>
  <c r="P368" i="3"/>
  <c r="M153" i="3"/>
  <c r="M20" i="3" s="1"/>
  <c r="P880" i="3"/>
  <c r="P319" i="3"/>
  <c r="P168" i="3"/>
  <c r="P172" i="3"/>
  <c r="R172" i="3" s="1"/>
  <c r="M155" i="3"/>
  <c r="N138" i="3"/>
  <c r="N213" i="3"/>
  <c r="N25" i="3"/>
  <c r="O172" i="3"/>
  <c r="P839" i="3"/>
  <c r="O270" i="3"/>
  <c r="P270" i="3" s="1"/>
  <c r="O147" i="3"/>
  <c r="P147" i="3" s="1"/>
  <c r="O515" i="3"/>
  <c r="P515" i="3" s="1"/>
  <c r="P510" i="3"/>
  <c r="N320" i="3"/>
  <c r="N323" i="3" s="1"/>
  <c r="N324" i="3" s="1"/>
  <c r="O149" i="3"/>
  <c r="P149" i="3" s="1"/>
  <c r="P267" i="3"/>
  <c r="O264" i="3"/>
  <c r="P264" i="3" s="1"/>
  <c r="P271" i="3" s="1"/>
  <c r="P274" i="3" s="1"/>
  <c r="O139" i="3"/>
  <c r="O369" i="3"/>
  <c r="O372" i="3" s="1"/>
  <c r="O373" i="3" s="1"/>
  <c r="N516" i="3"/>
  <c r="N519" i="3" s="1"/>
  <c r="O134" i="3"/>
  <c r="O138" i="3" s="1"/>
  <c r="O750" i="3"/>
  <c r="O765" i="3" s="1"/>
  <c r="O768" i="3" s="1"/>
  <c r="O769" i="3" s="1"/>
  <c r="P746" i="3"/>
  <c r="P750" i="3" s="1"/>
  <c r="P765" i="3" s="1"/>
  <c r="P768" i="3" s="1"/>
  <c r="P769" i="3" s="1"/>
  <c r="N94" i="3"/>
  <c r="N815" i="3"/>
  <c r="N818" i="3" s="1"/>
  <c r="N819" i="3" s="1"/>
  <c r="O170" i="3"/>
  <c r="P170" i="3" s="1"/>
  <c r="O864" i="3"/>
  <c r="P860" i="3"/>
  <c r="P418" i="3"/>
  <c r="P421" i="3" s="1"/>
  <c r="P422" i="3" s="1"/>
  <c r="J224" i="3"/>
  <c r="J225" i="3" s="1"/>
  <c r="J216" i="3"/>
  <c r="O320" i="3"/>
  <c r="O323" i="3" s="1"/>
  <c r="O324" i="3" s="1"/>
  <c r="P466" i="3"/>
  <c r="O166" i="3"/>
  <c r="O842" i="3"/>
  <c r="P833" i="3"/>
  <c r="O714" i="3"/>
  <c r="P709" i="3"/>
  <c r="N369" i="3"/>
  <c r="N372" i="3" s="1"/>
  <c r="N373" i="3" s="1"/>
  <c r="P362" i="3"/>
  <c r="O558" i="3"/>
  <c r="O509" i="3"/>
  <c r="P502" i="3"/>
  <c r="O418" i="3"/>
  <c r="O421" i="3" s="1"/>
  <c r="O422" i="3" s="1"/>
  <c r="L22" i="3"/>
  <c r="L82" i="3"/>
  <c r="K216" i="3"/>
  <c r="K224" i="3"/>
  <c r="K225" i="3" s="1"/>
  <c r="N271" i="3"/>
  <c r="N274" i="3" s="1"/>
  <c r="O171" i="3"/>
  <c r="P171" i="3" s="1"/>
  <c r="P838" i="3"/>
  <c r="O564" i="3"/>
  <c r="P564" i="3" s="1"/>
  <c r="P559" i="3"/>
  <c r="N565" i="3"/>
  <c r="N568" i="3" s="1"/>
  <c r="N569" i="3" s="1"/>
  <c r="K23" i="3"/>
  <c r="K28" i="3"/>
  <c r="I39" i="3"/>
  <c r="I40" i="3"/>
  <c r="L156" i="3"/>
  <c r="L215" i="3"/>
  <c r="P314" i="3"/>
  <c r="H39" i="3"/>
  <c r="H40" i="3"/>
  <c r="P460" i="3"/>
  <c r="O212" i="3"/>
  <c r="P179" i="3"/>
  <c r="P320" i="3"/>
  <c r="P323" i="3" s="1"/>
  <c r="P324" i="3" s="1"/>
  <c r="N152" i="3"/>
  <c r="O148" i="3"/>
  <c r="P148" i="3" s="1"/>
  <c r="O808" i="3"/>
  <c r="O142" i="3"/>
  <c r="P142" i="3" s="1"/>
  <c r="R142" i="3" s="1"/>
  <c r="P804" i="3"/>
  <c r="O167" i="3"/>
  <c r="P167" i="3" s="1"/>
  <c r="O886" i="3"/>
  <c r="P879" i="3"/>
  <c r="P363" i="3"/>
  <c r="J23" i="3"/>
  <c r="J28" i="3"/>
  <c r="P413" i="3"/>
  <c r="P369" i="3" l="1"/>
  <c r="P372" i="3" s="1"/>
  <c r="P373" i="3" s="1"/>
  <c r="P166" i="3"/>
  <c r="O177" i="3"/>
  <c r="O24" i="3" s="1"/>
  <c r="O146" i="3"/>
  <c r="N26" i="3"/>
  <c r="P212" i="3"/>
  <c r="R179" i="3"/>
  <c r="L224" i="3"/>
  <c r="L225" i="3" s="1"/>
  <c r="L216" i="3"/>
  <c r="L23" i="3"/>
  <c r="L28" i="3"/>
  <c r="O213" i="3"/>
  <c r="O25" i="3"/>
  <c r="P25" i="3" s="1"/>
  <c r="R25" i="3" s="1"/>
  <c r="O715" i="3"/>
  <c r="O718" i="3" s="1"/>
  <c r="O719" i="3" s="1"/>
  <c r="P714" i="3"/>
  <c r="P715" i="3" s="1"/>
  <c r="P718" i="3" s="1"/>
  <c r="P719" i="3" s="1"/>
  <c r="P134" i="3"/>
  <c r="P139" i="3"/>
  <c r="R139" i="3" s="1"/>
  <c r="M22" i="3"/>
  <c r="M82" i="3"/>
  <c r="P467" i="3"/>
  <c r="P470" i="3" s="1"/>
  <c r="P471" i="3" s="1"/>
  <c r="N153" i="3"/>
  <c r="P146" i="3"/>
  <c r="R146" i="3" s="1"/>
  <c r="J38" i="3"/>
  <c r="J29" i="3"/>
  <c r="O94" i="3"/>
  <c r="O815" i="3"/>
  <c r="O818" i="3" s="1"/>
  <c r="O819" i="3" s="1"/>
  <c r="P808" i="3"/>
  <c r="P815" i="3" s="1"/>
  <c r="P818" i="3" s="1"/>
  <c r="P819" i="3" s="1"/>
  <c r="O516" i="3"/>
  <c r="O519" i="3" s="1"/>
  <c r="P509" i="3"/>
  <c r="P516" i="3" s="1"/>
  <c r="P519" i="3" s="1"/>
  <c r="O152" i="3"/>
  <c r="O153" i="3" s="1"/>
  <c r="M156" i="3"/>
  <c r="M215" i="3"/>
  <c r="K38" i="3"/>
  <c r="K29" i="3"/>
  <c r="O565" i="3"/>
  <c r="O568" i="3" s="1"/>
  <c r="O569" i="3" s="1"/>
  <c r="P558" i="3"/>
  <c r="P565" i="3" s="1"/>
  <c r="P568" i="3" s="1"/>
  <c r="P569" i="3" s="1"/>
  <c r="O271" i="3"/>
  <c r="O274" i="3" s="1"/>
  <c r="O26" i="3" l="1"/>
  <c r="P24" i="3"/>
  <c r="P152" i="3"/>
  <c r="R152" i="3" s="1"/>
  <c r="R166" i="3"/>
  <c r="P177" i="3"/>
  <c r="R177" i="3" s="1"/>
  <c r="O20" i="3"/>
  <c r="O155" i="3"/>
  <c r="L38" i="3"/>
  <c r="L29" i="3"/>
  <c r="M216" i="3"/>
  <c r="M224" i="3"/>
  <c r="M225" i="3" s="1"/>
  <c r="K39" i="3"/>
  <c r="K40" i="3"/>
  <c r="M28" i="3"/>
  <c r="M23" i="3"/>
  <c r="J39" i="3"/>
  <c r="J40" i="3"/>
  <c r="R134" i="3"/>
  <c r="P138" i="3"/>
  <c r="N20" i="3"/>
  <c r="N155" i="3"/>
  <c r="R212" i="3"/>
  <c r="P213" i="3" l="1"/>
  <c r="R213" i="3" s="1"/>
  <c r="R215" i="3" s="1"/>
  <c r="P26" i="3"/>
  <c r="R24" i="3"/>
  <c r="O215" i="3"/>
  <c r="O156" i="3"/>
  <c r="M38" i="3"/>
  <c r="M29" i="3"/>
  <c r="R138" i="3"/>
  <c r="R153" i="3" s="1"/>
  <c r="P153" i="3"/>
  <c r="L39" i="3"/>
  <c r="L40" i="3"/>
  <c r="R224" i="3"/>
  <c r="R225" i="3" s="1"/>
  <c r="R216" i="3"/>
  <c r="O82" i="3"/>
  <c r="O22" i="3"/>
  <c r="N215" i="3"/>
  <c r="N156" i="3"/>
  <c r="N82" i="3"/>
  <c r="N22" i="3"/>
  <c r="P27" i="3" l="1"/>
  <c r="R26" i="3"/>
  <c r="N28" i="3"/>
  <c r="N23" i="3"/>
  <c r="P20" i="3"/>
  <c r="P155" i="3"/>
  <c r="O224" i="3"/>
  <c r="O225" i="3" s="1"/>
  <c r="O216" i="3"/>
  <c r="M40" i="3"/>
  <c r="M39" i="3"/>
  <c r="N216" i="3"/>
  <c r="N224" i="3"/>
  <c r="N225" i="3" s="1"/>
  <c r="O28" i="3"/>
  <c r="O23" i="3"/>
  <c r="O38" i="3" l="1"/>
  <c r="O29" i="3"/>
  <c r="R20" i="3"/>
  <c r="P22" i="3"/>
  <c r="N29" i="3"/>
  <c r="N38" i="3"/>
  <c r="P215" i="3"/>
  <c r="P156" i="3"/>
  <c r="N40" i="3" l="1"/>
  <c r="N39" i="3"/>
  <c r="P28" i="3"/>
  <c r="R22" i="3"/>
  <c r="P23" i="3"/>
  <c r="P216" i="3"/>
  <c r="P224" i="3"/>
  <c r="P225" i="3" s="1"/>
  <c r="O40" i="3"/>
  <c r="O39" i="3"/>
  <c r="P38" i="3" l="1"/>
  <c r="P29" i="3"/>
  <c r="R38" i="3" l="1"/>
  <c r="P39" i="3"/>
  <c r="P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Dadan</author>
    <author>tc={EDC37DB4-6C9F-4CF2-9B62-CA56782A1E64}</author>
  </authors>
  <commentList>
    <comment ref="F6" authorId="0" shapeId="0" xr:uid="{403AA72F-428E-4143-9385-395EDD721E4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Biiaya DL /Nett Sales</t>
        </r>
      </text>
    </comment>
    <comment ref="F7" authorId="0" shapeId="0" xr:uid="{CF2E6FB5-6B4C-4BDB-88DA-533190CE7CF0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FOH/Nett sales</t>
        </r>
      </text>
    </comment>
    <comment ref="F9" authorId="0" shapeId="0" xr:uid="{5EA168F7-664A-4371-B6A9-D3D91EF8E9C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jam istirahat 1/9 jam</t>
        </r>
      </text>
    </comment>
    <comment ref="F10" authorId="0" shapeId="0" xr:uid="{343028D8-9A2D-49A9-AD5E-60A53A554F8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Biaya GS/nestt sales</t>
        </r>
      </text>
    </comment>
    <comment ref="F11" authorId="0" shapeId="0" xr:uid="{CABCBE8F-943D-4554-AE58-F0A53D93AD5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SAles</t>
        </r>
      </text>
    </comment>
    <comment ref="F15" authorId="0" shapeId="0" xr:uid="{312AEABB-F13C-4470-AAE2-D37634E954B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Sesuai dengan permintaan Sales</t>
        </r>
      </text>
    </comment>
    <comment ref="F18" authorId="0" shapeId="0" xr:uid="{EF9D6E8A-5769-4E5B-A4A1-A904DC1448E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QC</t>
        </r>
      </text>
    </comment>
    <comment ref="F25" authorId="0" shapeId="0" xr:uid="{9E3E0BD0-8D63-4758-ABFD-7106992FFC6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BOD</t>
        </r>
      </text>
    </comment>
    <comment ref="F28" authorId="0" shapeId="0" xr:uid="{2D025481-0ED3-406C-826F-F8F7718C237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STD sasaran Mutu</t>
        </r>
      </text>
    </comment>
    <comment ref="F40" authorId="0" shapeId="0" xr:uid="{766BCFC6-8C0A-49DB-BC17-ECB91D6B5DC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Sodium metabisulfit, ferro lebih effektif yang mana? Dari HC</t>
        </r>
      </text>
    </comment>
    <comment ref="H42" authorId="1" shapeId="0" xr:uid="{EDC37DB4-6C9F-4CF2-9B62-CA56782A1E64}">
      <text>
        <t>[Threaded comment]
Your version of Excel allows you to read this threaded comment; however, any edits to it will get removed if the file is opened in a newer version of Excel. Learn more: https://go.microsoft.com/fwlink/?linkid=870924
Comment:
    Sop limbah semi automatic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</authors>
  <commentList>
    <comment ref="V2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Bank Charge : 370
IT : 515
Event : 253
TAD : 49
Water Electr : 524</t>
        </r>
      </text>
    </comment>
    <comment ref="C54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Yaya:</t>
        </r>
        <r>
          <rPr>
            <sz val="9"/>
            <color indexed="81"/>
            <rFont val="Tahoma"/>
            <family val="2"/>
          </rPr>
          <t xml:space="preserve">
Biaya Import</t>
        </r>
      </text>
    </comment>
  </commentList>
</comments>
</file>

<file path=xl/sharedStrings.xml><?xml version="1.0" encoding="utf-8"?>
<sst xmlns="http://schemas.openxmlformats.org/spreadsheetml/2006/main" count="1325" uniqueCount="434">
  <si>
    <t>F-CBSC/CINT/2022</t>
  </si>
  <si>
    <t>DIREKTORAT PRODUKSI- BALANCE SCORE CARD 2023</t>
  </si>
  <si>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</si>
  <si>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</si>
  <si>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</si>
  <si>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</si>
  <si>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</si>
  <si>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</si>
  <si>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</si>
  <si>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1. Meningkatkan efektivitas dan efisiensi biaya produksi/ COGS</t>
  </si>
  <si>
    <t>Cost Effectiveness</t>
  </si>
  <si>
    <t>CUSTOMER</t>
  </si>
  <si>
    <t>Customer Satisfaction</t>
  </si>
  <si>
    <t>1. Zero claim customer</t>
  </si>
  <si>
    <t>Innovative Products</t>
  </si>
  <si>
    <t>1. Mengembangkan produk yang inovatif dan kompetitif</t>
  </si>
  <si>
    <t>INTERNAL PROCESS (IP)</t>
  </si>
  <si>
    <t>Production Quality</t>
  </si>
  <si>
    <t>Kegagalan G2/ bulan</t>
  </si>
  <si>
    <t>Productivity</t>
  </si>
  <si>
    <t>3.000 unit</t>
  </si>
  <si>
    <t>1.  Meningkatkan produktifitas dari sumberdaya yang dimiliki secara maksimal</t>
  </si>
  <si>
    <t>Responsible Production Process</t>
  </si>
  <si>
    <t>1. Meningkatkan efektivitas program ESG</t>
  </si>
  <si>
    <t xml:space="preserve">Pencapaian Target Intensitas Waste Water </t>
  </si>
  <si>
    <t>0,06 (M3/pcs)</t>
  </si>
  <si>
    <t xml:space="preserve">Pencapaian Target Intensitas Solid Waste </t>
  </si>
  <si>
    <t>0,0005 (ton/pcs)</t>
  </si>
  <si>
    <t>Inventory Management</t>
  </si>
  <si>
    <t>1. Mengendalikan inventory material, WIP dan barang jadi</t>
  </si>
  <si>
    <t>LEARNING &amp; GROWTH (LG)</t>
  </si>
  <si>
    <t>Organization Capital</t>
  </si>
  <si>
    <t>Kaizen Strategis</t>
  </si>
  <si>
    <t>1/Dept/Tahun</t>
  </si>
  <si>
    <t>1. Menggerakkan program Kaizen</t>
  </si>
  <si>
    <t>Keterlibatan Kaizen / Bulan</t>
  </si>
  <si>
    <t>0 temuan 
Patroli 5S</t>
  </si>
  <si>
    <t>Pemenuhan GCG,Kode etik, Peraturan &amp; Perundangan</t>
  </si>
  <si>
    <t>System Capital</t>
  </si>
  <si>
    <t>1. Optimalisasi penerapan sistem management ISO 9001</t>
  </si>
  <si>
    <t>Realisasi Program Pengembangan System Management QHSE</t>
  </si>
  <si>
    <t>Mei 2023</t>
  </si>
  <si>
    <t>1. Implementasi ISO 14001 dan 45001</t>
  </si>
  <si>
    <t>Digitalization System</t>
  </si>
  <si>
    <t>1. Pengembangan sistem informasi berbasis digitalisasi
2. Merealisasikan transaksi realtime di sistem SAP</t>
  </si>
  <si>
    <t>3. Meningkatkan efektivitas program SCM planning &amp; schedulling</t>
  </si>
  <si>
    <t xml:space="preserve">FINANCIAL </t>
  </si>
  <si>
    <t>DEPARTEMEN PRODUKSI</t>
  </si>
  <si>
    <t>Kapasitas Produksi Reguler per hari (hasil Produksi)</t>
  </si>
  <si>
    <t>2. Evaluasi kapasitas tiap bulan</t>
  </si>
  <si>
    <t>3. Pengawasan proses produksi harian dengan ketat</t>
  </si>
  <si>
    <t>2. Meningkatkan kompetensi dengan pelatihan yang fokus pada human skill dan technical skill</t>
  </si>
  <si>
    <t>1. Meningkatkan kualitas produk</t>
  </si>
  <si>
    <t>1. PengawasanPenggunaan APD yang lengkap</t>
  </si>
  <si>
    <t>2. Melaksanakan SOP proses produksi secara ketat</t>
  </si>
  <si>
    <t>2. Menurunkan complain internal (standar keberterimaan)</t>
  </si>
  <si>
    <t>2. Memastikan sarana produksi sesuai standard dan selalu dikakibrasi berkala</t>
  </si>
  <si>
    <t>2. Koordinasi rutin dan pelatihan kualitas tiap seksi tentang kualitas</t>
  </si>
  <si>
    <t>Jumlah Kecelakaan Kerja tiap bulan</t>
  </si>
  <si>
    <t>0/bulan</t>
  </si>
  <si>
    <t>Minimasi persediaan di areal produksi dengan stok minimal</t>
  </si>
  <si>
    <t>3. Briefing harian berkala tentang keselamatan kerja</t>
  </si>
  <si>
    <t>2. Meningkatkan kepedulian karyawan terhadap 5S</t>
  </si>
  <si>
    <t>3. Implementasi program pengembangan kompetensi</t>
  </si>
  <si>
    <t>4. Meningkatkan efektivitas pemenuhan terhadap GCG, Kode etik, Peraturan &amp; perundangan</t>
  </si>
  <si>
    <t>1. Responsif dan aktif dalam penelusuran ketidak sesuain yang ditemukan</t>
  </si>
  <si>
    <t>PT CHITOSE INTERNASIONAL TBK</t>
  </si>
  <si>
    <t>DRAFT BUDGET 2022</t>
  </si>
  <si>
    <t>PROJECTION PROFIT/LOSS - 2023</t>
  </si>
  <si>
    <t>DESCRIPTION</t>
  </si>
  <si>
    <t>JAN</t>
  </si>
  <si>
    <t>FEB</t>
  </si>
  <si>
    <t>MAR</t>
  </si>
  <si>
    <t>APR</t>
  </si>
  <si>
    <t>MEI</t>
  </si>
  <si>
    <t>JUN</t>
  </si>
  <si>
    <t>JUL</t>
  </si>
  <si>
    <t>AGUST</t>
  </si>
  <si>
    <t>SEP</t>
  </si>
  <si>
    <t>OKT</t>
  </si>
  <si>
    <t>NOP</t>
  </si>
  <si>
    <t>DES</t>
  </si>
  <si>
    <t>TOTAL 2023</t>
  </si>
  <si>
    <t>P 2022</t>
  </si>
  <si>
    <t>Estimate Growth</t>
  </si>
  <si>
    <t>Sales Qty</t>
  </si>
  <si>
    <t>Production Qty</t>
  </si>
  <si>
    <t>Sales :</t>
  </si>
  <si>
    <t>Sales Lokal (DH)</t>
  </si>
  <si>
    <t>NSB</t>
  </si>
  <si>
    <t>Export</t>
  </si>
  <si>
    <t>B to C</t>
  </si>
  <si>
    <t>AS Project</t>
  </si>
  <si>
    <t>Project</t>
  </si>
  <si>
    <t>CCI</t>
  </si>
  <si>
    <t>Net Sales</t>
  </si>
  <si>
    <t>Cost of Goods Sold</t>
  </si>
  <si>
    <t>Gross Profit</t>
  </si>
  <si>
    <t xml:space="preserve"> </t>
  </si>
  <si>
    <t>Selling Exp</t>
  </si>
  <si>
    <t>GA Exp</t>
  </si>
  <si>
    <t xml:space="preserve"> Total Selling &amp; GA Exp</t>
  </si>
  <si>
    <t>Operating Profit</t>
  </si>
  <si>
    <t xml:space="preserve"> Interest Inc-Bank</t>
  </si>
  <si>
    <t xml:space="preserve"> Interest Exp-Loan</t>
  </si>
  <si>
    <t xml:space="preserve"> Forex Gain/Loss real</t>
  </si>
  <si>
    <t xml:space="preserve"> Oth Income</t>
  </si>
  <si>
    <t>Total Financial Result - G/(L)</t>
  </si>
  <si>
    <t>P/L ( before Tax)</t>
  </si>
  <si>
    <t>SALES QTY 2023</t>
  </si>
  <si>
    <t>TOTAL 2020</t>
  </si>
  <si>
    <t>Retail</t>
  </si>
  <si>
    <t>Uniform</t>
  </si>
  <si>
    <t>Garment</t>
  </si>
  <si>
    <t>SE</t>
  </si>
  <si>
    <t>TOTAL</t>
  </si>
  <si>
    <t>A GRADE</t>
  </si>
  <si>
    <t xml:space="preserve">    </t>
  </si>
  <si>
    <t>TARGET PRODUCTION 2023</t>
  </si>
  <si>
    <t>CONSTRUCTION</t>
  </si>
  <si>
    <t>NICLE CHROME</t>
  </si>
  <si>
    <t>COATING/POWDER COATING</t>
  </si>
  <si>
    <t>NAILING</t>
  </si>
  <si>
    <t>WOODLINE</t>
  </si>
  <si>
    <t>CPRO</t>
  </si>
  <si>
    <t>ASSEMBLING</t>
  </si>
  <si>
    <t>BUDGET COST 2021</t>
  </si>
  <si>
    <t>TEXTURIZING</t>
  </si>
  <si>
    <t>TWISTING</t>
  </si>
  <si>
    <t>SIZING</t>
  </si>
  <si>
    <t>WEAVING</t>
  </si>
  <si>
    <t>DYEING FINISHING</t>
  </si>
  <si>
    <t>LOGISTIC CENTRE</t>
  </si>
  <si>
    <t>ENGINEERING</t>
  </si>
  <si>
    <t>R &amp; D</t>
  </si>
  <si>
    <t>SCH</t>
  </si>
  <si>
    <t>GEN &amp; ADM</t>
  </si>
  <si>
    <t>SALES &amp; MARK</t>
  </si>
  <si>
    <t>MSD</t>
  </si>
  <si>
    <t>COST PER UNIT 2021</t>
  </si>
  <si>
    <t>UTILITY</t>
  </si>
  <si>
    <t>R&amp;D</t>
  </si>
  <si>
    <t>DETAIL PROFIT/LOSS 2023</t>
  </si>
  <si>
    <t>TOTAL 2021</t>
  </si>
  <si>
    <t>TARGET SALES QTY</t>
  </si>
  <si>
    <t>TARGET PRODUKSI DF</t>
  </si>
  <si>
    <t>TOTAL SALES</t>
  </si>
  <si>
    <t>COGM-Raw Material</t>
  </si>
  <si>
    <t>COGM- Sub Contracting</t>
  </si>
  <si>
    <t>COGM-Quality</t>
  </si>
  <si>
    <t xml:space="preserve">RAW MATERIAL USES </t>
  </si>
  <si>
    <t>COGM-Chemical Chrome</t>
  </si>
  <si>
    <t>COGM-Chemical Powder Coating</t>
  </si>
  <si>
    <t>COGM-Diesel Fuel</t>
  </si>
  <si>
    <t>COGM-Lubricant</t>
  </si>
  <si>
    <t>COGM-Spare Part</t>
  </si>
  <si>
    <t>COGM-General Supplies</t>
  </si>
  <si>
    <t>COGM-Sub Material Furniture</t>
  </si>
  <si>
    <t>COGM-Research and Development</t>
  </si>
  <si>
    <t>COGM-Building maintenance</t>
  </si>
  <si>
    <t>COGM-Machine maintenance</t>
  </si>
  <si>
    <t>COGM-Depreciation expense Building</t>
  </si>
  <si>
    <t>COGM-Depreciation expense Machineries</t>
  </si>
  <si>
    <t>COGM-Depreciation expense Factory Equip</t>
  </si>
  <si>
    <t>COGM-Freight</t>
  </si>
  <si>
    <t>COGM-Machine Insurance</t>
  </si>
  <si>
    <t>COGM-Water</t>
  </si>
  <si>
    <t>COGM-Electricity</t>
  </si>
  <si>
    <t>COGM-Waste</t>
  </si>
  <si>
    <t>TOTAL FOH</t>
  </si>
  <si>
    <t>COGM-DirectLabor</t>
  </si>
  <si>
    <t>COGM-Over Time DL</t>
  </si>
  <si>
    <t>COGM-Benefit DL</t>
  </si>
  <si>
    <t>COGM-IndirectLabor</t>
  </si>
  <si>
    <t>COGM-Benefit IL</t>
  </si>
  <si>
    <t>COGM-N.Year All DL</t>
  </si>
  <si>
    <t>COGM-N.Year All IL</t>
  </si>
  <si>
    <t>TOTAL SALARY &amp; WAGES COGM</t>
  </si>
  <si>
    <t>COGM-Medical (IDL)</t>
  </si>
  <si>
    <t>COGM-DL Insurance</t>
  </si>
  <si>
    <t>COGM-IDL Insurance</t>
  </si>
  <si>
    <t>COGM-Pension Fund</t>
  </si>
  <si>
    <t>COGM-Meal &amp; Uniform</t>
  </si>
  <si>
    <t>TOTAL WELFARE COGM</t>
  </si>
  <si>
    <t>TOTAL  COST PRODUCTION</t>
  </si>
  <si>
    <t>GROSS PROFIT …………………..</t>
  </si>
  <si>
    <t>Selling Expense-Advertising &amp; Promotion</t>
  </si>
  <si>
    <t>Selling Expense-Export Insurance &amp; Frei</t>
  </si>
  <si>
    <t>Selling Expense-Domestic Insurance &amp; Fr</t>
  </si>
  <si>
    <t>Selling Expense-Entertain&amp;Representativ</t>
  </si>
  <si>
    <t>Selling Expense-Travelling &amp; Accommodat</t>
  </si>
  <si>
    <t>Selling Expense-POS&amp;Office Supplies</t>
  </si>
  <si>
    <t>Selling Expense-Komisi/Jasa Penjualan</t>
  </si>
  <si>
    <t>Selling Expense-komunikasi</t>
  </si>
  <si>
    <t>Selling Expense-Salaries &amp; Wages</t>
  </si>
  <si>
    <t>Selling Expense-Insurance</t>
  </si>
  <si>
    <t>Selling Expense-Pension Fund</t>
  </si>
  <si>
    <t>Selling Expense-Welfare</t>
  </si>
  <si>
    <t>Selling Expense-Year All DL</t>
  </si>
  <si>
    <t>Selling Expense-Meal &amp; Uniform</t>
  </si>
  <si>
    <t>Selling Expense-Depreciation</t>
  </si>
  <si>
    <t>Selling Expense-Other</t>
  </si>
  <si>
    <t>SELLING EXP</t>
  </si>
  <si>
    <t>G&amp;A Expense-Salaries &amp; Wages</t>
  </si>
  <si>
    <t>G&amp;A Expense-Over Time</t>
  </si>
  <si>
    <t>G&amp;A Expense-Insurance</t>
  </si>
  <si>
    <t>G&amp;A Expense-Pension Fund</t>
  </si>
  <si>
    <t>G&amp;A Expense-Welfare</t>
  </si>
  <si>
    <t>G&amp;A Expense-N.Year All IL</t>
  </si>
  <si>
    <t>G&amp;A Expense-Meal &amp; Uniform</t>
  </si>
  <si>
    <t>G&amp;A Expense-Building maintena</t>
  </si>
  <si>
    <t>G&amp;A Expense-Vehicle maintenan</t>
  </si>
  <si>
    <t>G&amp;A Expense-Ofc equipment mai</t>
  </si>
  <si>
    <t>G&amp;A Expense-Entertain&amp;Represe</t>
  </si>
  <si>
    <t>G&amp;A Expense-Legal</t>
  </si>
  <si>
    <t>G&amp;A Expense-Go Public</t>
  </si>
  <si>
    <t>G&amp;A Expense-Meeting &amp; members</t>
  </si>
  <si>
    <t>G&amp;A Expense-General Supplies</t>
  </si>
  <si>
    <t>G&amp;A Expense-Office Supplies</t>
  </si>
  <si>
    <t>G&amp;A Expense-Information Techn</t>
  </si>
  <si>
    <t>G&amp;A Expense-Bank Charges</t>
  </si>
  <si>
    <t>Reclaas dari oth exp keuangan</t>
  </si>
  <si>
    <t>G&amp;A Expense-Rent</t>
  </si>
  <si>
    <t>G&amp;A Expense-Communication</t>
  </si>
  <si>
    <t>G&amp;A Expense-Travelling&amp;accomm</t>
  </si>
  <si>
    <t>G&amp;A Expense-Transportation</t>
  </si>
  <si>
    <t>G&amp;A Expense-Management Consul</t>
  </si>
  <si>
    <t xml:space="preserve">Reclaas oust tenaga kerja dari gensup </t>
  </si>
  <si>
    <t>G&amp;A Expense-Human Resource De</t>
  </si>
  <si>
    <t>G&amp;A Expense-Depreciation</t>
  </si>
  <si>
    <t>G&amp;A Expense-Amortization</t>
  </si>
  <si>
    <t>G&amp;A Expense-Water&amp;Electricity</t>
  </si>
  <si>
    <t>G&amp;A Expense-Tax</t>
  </si>
  <si>
    <t>G&amp;A Expense-Vehicle Insurance</t>
  </si>
  <si>
    <t>G&amp;A Expense-K3</t>
  </si>
  <si>
    <t>G&amp;A Expense-Michelenius</t>
  </si>
  <si>
    <t>G&amp;A Expense-CSR</t>
  </si>
  <si>
    <t>G &amp; A EXPENSES</t>
  </si>
  <si>
    <t>TOTAL OPERATING EXPENSES</t>
  </si>
  <si>
    <t>OPERATING PROFIT  ……………..</t>
  </si>
  <si>
    <t>Interest Inc-Bank</t>
  </si>
  <si>
    <t>Interest Exp-Loan</t>
  </si>
  <si>
    <t>Forex Gain/Loss real</t>
  </si>
  <si>
    <t>Oth Inc</t>
  </si>
  <si>
    <t>NON  OPERATING EXP/INCOME</t>
  </si>
  <si>
    <t>NET PROFIT BEFORE TAX …</t>
  </si>
  <si>
    <t>1. CONSTRUCTION 2023</t>
  </si>
  <si>
    <t>TOTAL PRODUCTION</t>
  </si>
  <si>
    <t xml:space="preserve">GRAND TOTAL COST CONSTRUCTION </t>
  </si>
  <si>
    <t>2. NICKLE CHROME 2023</t>
  </si>
  <si>
    <t>Cost per unit =</t>
  </si>
  <si>
    <t>3. COATING/POWDER COATING 2023</t>
  </si>
  <si>
    <t>4. NAILING 2023</t>
  </si>
  <si>
    <t>5. WOODLINE 2023</t>
  </si>
  <si>
    <t>6. CPRO 2023</t>
  </si>
  <si>
    <t>7. ASSEMBLING 2023</t>
  </si>
  <si>
    <t>GRAND TOTAL COST LC</t>
  </si>
  <si>
    <t>8. PPIC 2023</t>
  </si>
  <si>
    <t>9. QUALITY CONTR 2023</t>
  </si>
  <si>
    <t>10. PROD SUPPORT 2023</t>
  </si>
  <si>
    <t>11. PRODUCTION 2023</t>
  </si>
  <si>
    <t>9. R &amp; D 2023</t>
  </si>
  <si>
    <t>Marketing</t>
  </si>
  <si>
    <t>Selling Expense-Telekomunikasi</t>
  </si>
  <si>
    <t>Selling Expense-N.Year All IL</t>
  </si>
  <si>
    <t>Selling Expense-Depre</t>
  </si>
  <si>
    <t>Sales &amp; Distribusi</t>
  </si>
  <si>
    <t>BD</t>
  </si>
  <si>
    <t xml:space="preserve">Temuan internal audit/survaliance, </t>
  </si>
  <si>
    <t>Waktu penutupan temuan</t>
  </si>
  <si>
    <t>&lt;0,4% dari total  Produksi bulanan (APS)</t>
  </si>
  <si>
    <t xml:space="preserve">Pencapaian hasil produksi terhadap APS </t>
  </si>
  <si>
    <t>1. Mengendalikan barang, komponen, bahan baku di areal produksi dengan baik</t>
  </si>
  <si>
    <t>1. Merencanakan kegiatan produksi dengan detail kapasitass tiap seksi</t>
  </si>
  <si>
    <t>1. Membuat produk sesuai dengan spek produk (custom) dengan memastikan gambar prosuk, produk jadi, dan kelengkapan komponen.</t>
  </si>
  <si>
    <t>2. Mengendalikan komponen, bahan baku di areal produksi dengan baik</t>
  </si>
  <si>
    <t>1. Melakukan pengawasan ketat harian thdp waktu kerja, Proses Produksi, &amp; SDM</t>
  </si>
  <si>
    <t>1. Mengendalikan Absensi karyawan &amp; Briefing Harian</t>
  </si>
  <si>
    <t>Tingkat Absensi (absensi Karyawan)</t>
  </si>
  <si>
    <t xml:space="preserve">1. Mengevaluasi kondisi dan kesiapan sarana dan prasarana produksi </t>
  </si>
  <si>
    <t>1. Melakukan Evaluasi dan perbaikan terhadap SOP sistem produksi setiap bagian</t>
  </si>
  <si>
    <t>1. Melaksanakan dan terlibat dalam training manajemen mutu, sistem manajemen lingkungan, manajemen kesehatan dan keselamatan kerja</t>
  </si>
  <si>
    <t>1. Memastikan semua komponen dalam BOM dan kapasitas produksi tersedia</t>
  </si>
  <si>
    <t>3. Melaksanakan Training tentang sistem kualitas</t>
  </si>
  <si>
    <t>1. Merencanakan, melaksanakan, mengawasi dan mengevaluasi kegiatan/proses pengolahan Waste water dimana Nilai Baku Mutu &lt; nilai regulasi</t>
  </si>
  <si>
    <t>Temuan 5S</t>
  </si>
  <si>
    <t>1. Merencanakan, melaksanakan, mengawasi dan mengevaluasi kegiatan/proses pengelolaan limbah padat dengan ketat harus sesuai SOP</t>
  </si>
  <si>
    <t>Delapan pilar TPM sebagian besar berfokus pada teknik proaktif dan preventif untuk meningkatkan keandalan peralatan. Adapun pilar tersebut:</t>
  </si>
  <si>
    <t>1. Pemeliharaan Otonom (bahasa Inggris: Autonomous Maintenance) adalah Tempat tanggung jawab untuk perawatan rutin, seperti pembersihan, pelumas, dan inspeksi, di tangan operator.</t>
  </si>
  <si>
    <t>2. Perbaikan Terfokus (Focused Improvement) – Mintalah sekelompok kecil karyawan bekerja sama secara proaktif untuk mencapai peningkatan operasi peralatan secara reguler dan bertahap.</t>
  </si>
  <si>
    <t>3. Pemeliharaan yang direncanakan (Planned Maintenance) yaitu Jadwal tugas pemeliharaan berdasarkan tingkat kegagalan yang diprediksi dan / atau diukur.</t>
  </si>
  <si>
    <t>4. Manajemen mutu (Quality management) adalah mendesain atas deteksi kesalahan dan pencegahan ke dalam proses produksi. Terapkan Root Cause Analysis untuk menghilangkan sumber defek kualitas yang berulang.</t>
  </si>
  <si>
    <t>5. Manajemen awal / peralatan (early/equipment management) – Mengarahkan pengetahuan dan pemahaman praktis tentang peralatan manufaktur yang diperoleh melalui TPM untuk memperbaiki disain peralatan baru.</t>
  </si>
  <si>
    <t>6. Pendidikan dan Pelatihan (Education and Training) – Hilangkan kesenjangan pengetahuan yang diperlukan untuk mencapai tujuan TPM. Berlaku untuk operator, personil pemeliharaan dan manajer.</t>
  </si>
  <si>
    <t>7. Lingkungan Kesehatan Keselamatan (Safety Health Environment) – Menjaga lingkungan kerja yang aman dan sehat.</t>
  </si>
  <si>
    <t>8. TPM Administrasi &amp; Kantor (Administrative &amp; office TPM) – Terapkan teknik TPM untuk fungsi administrasi.</t>
  </si>
  <si>
    <t>8 PILAR TPM</t>
  </si>
  <si>
    <t>Apa itu OEE?</t>
  </si>
  <si>
    <t>Terdapat tiga indikator utama pengukuran, yaitu Availability yaitu waktu kesediaan mesin, Performance atau jumlah unit yang diproduksi dan Quality yaitu mutu yang dihasilkan. Klasifikasi pengukuran OEE dikategorikan sebagai berikut:</t>
  </si>
  <si>
    <t>Score 100 persen yaitu produksi dianggap sempurna karena hanya memproduksi produk tanpa cacat, bekerja dalam performance yang cepat, dan tidak ada downtime.</t>
  </si>
  <si>
    <t>Score 85 persen yaitu produksi dianggap kelas dunia karena sering dijadikan target jangka panjang.</t>
  </si>
  <si>
    <t>Score 40 persen yaitu produksi dianggap memiliki skor yang rendah, tapi dalam kebanyakan kasus dapat dengan mudah ditingkatkan melalui pengukuran langsung.</t>
  </si>
  <si>
    <t>OEE (%) = Availability (%) x Performance efficiency (%) x Rate of Quality Product (%)</t>
  </si>
  <si>
    <t>Availability = ((Loading time – downtime) / loading time) x 100%</t>
  </si>
  <si>
    <t>Availability = (Operation time / loading time) x 100%</t>
  </si>
  <si>
    <t>Performance efficiency = ((Processed amount x actual cycle time) / (operation time x ideal cycle time)) / actual cycle time</t>
  </si>
  <si>
    <t>Performance efficiency = ((Processed amount x ideal cycle time) / operation time) x 100%</t>
  </si>
  <si>
    <t>Rate of quality product</t>
  </si>
  <si>
    <t xml:space="preserve">% PRODUK YG NG/PRODUK OK </t>
  </si>
  <si>
    <t>Rate of Quality Product (%)</t>
  </si>
  <si>
    <t xml:space="preserve">Performance efficiency </t>
  </si>
  <si>
    <t>Rate of Quality Product</t>
  </si>
  <si>
    <t xml:space="preserve"> Availability (%) </t>
  </si>
  <si>
    <t xml:space="preserve"> Performance efficiency (%)</t>
  </si>
  <si>
    <t>OEE</t>
  </si>
  <si>
    <t>1. Memantau produktivitas total di seluruh bidang</t>
  </si>
  <si>
    <t>2. Memaksimalkan efektivitas peralatan</t>
  </si>
  <si>
    <t>3. Memantau produktivitas total di seluruh seksi</t>
  </si>
  <si>
    <t>2. Menanamkan Tanggung jawab bersama untuk perbaikan kecil rutin, pemeliharaan, pembersihan, dan inspeksi</t>
  </si>
  <si>
    <t>3. Melibatkan karyawan di setiap tingkat di semua seksi</t>
  </si>
  <si>
    <t>2. Meminimalkan proses berjalan lebih lambat daripada kecepatan maksimumnya  Misalnya, interupsi penggunaan mesin, material yang tidak memenuhi standar mutu, dan kesalahan pemasangan.</t>
  </si>
  <si>
    <t xml:space="preserve">1. Update, analisa, evaluasi data teknis sampai pelaksananan proses produksi </t>
  </si>
  <si>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1 bulan dari prototype di Acc</t>
    </r>
  </si>
  <si>
    <t>1. Memantau proses produksi sesuai standarg kualitas</t>
  </si>
  <si>
    <t>Input proses Permintaan Barang Gudang  (SPBG) dengan SAP</t>
  </si>
  <si>
    <t>100% tiap hari (PKH)</t>
  </si>
  <si>
    <t>1. Menjaga konsistensi dan keterlibatan serta aktif dalam Implementasi SAP berupa inpiut SPBG target harian</t>
  </si>
  <si>
    <t>Harapan bagian lain terhadap produksi dalam penetapan BSC 2023</t>
  </si>
  <si>
    <t xml:space="preserve">-          Pembuatan RPB harus ter integrasi secara detail per produk,RPB Assembling,Finishing,Konstruksi dan subkon  </t>
  </si>
  <si>
    <t>-          Rpb harus dikompirmasi oleh Ppic dan komitmen untuk menjalankan</t>
  </si>
  <si>
    <t>-          Produksi harus hapal kapasitas semua tipe produk mulai konstruksi ,finishing,assembling</t>
  </si>
  <si>
    <t>-          Harus ada data dalam pencapaian target mulai dari kesiapan barang H-1 sudah harus siap</t>
  </si>
  <si>
    <t>-          Setiap permintaan perbaikan mesin harus disertai surat sesuai prosedur</t>
  </si>
  <si>
    <t>-          Operator produksi khusus nya yang menjalankan mesin harus bisa menjalankan Autonomos Maintenance,apa bila ada sesuatu yang tidak standar segera lapor ke engering</t>
  </si>
  <si>
    <t>-          Produksi harus mempunyai jadwal tetap secara terukur untuik bagian Engenering  menjadwalkan maintenan mesin</t>
  </si>
  <si>
    <t>-          Memberikan informasi mengenai mesin yang tidak jalan karena nunggu komponen bila pada jadwal padat bisa dimanfaatkan untuk maintenan</t>
  </si>
  <si>
    <t>-          Pada saat setting matres jangan terjadi human eror yang mengakibatkan matres rusak</t>
  </si>
  <si>
    <t>-          Pada tahun 2023 program 5S supaya bisa dijalankan disemua lini produksi</t>
  </si>
  <si>
    <t>-          Penentuan jalan untuk pejalan kaki supaya dilaksanakan dan tidak menyimpan barang ,roda dan lainnya sehingga jalan untuk pejalan kaki tertutup</t>
  </si>
  <si>
    <t>-          Dijalan utama tidak ada penyimpanan barang,tempat penyimpanan barang akan diproses disediakan tempat khusus dan tidak boleh over kapasitas</t>
  </si>
  <si>
    <t>-          Produksi memberikan Support terhadap program RnD yang membutuhkan sarana yang dimiliki produksi baik itu mesin atau SDM</t>
  </si>
  <si>
    <t>-          Kerjasama dalam kelancaran proses produksi dan kualitas produk</t>
  </si>
  <si>
    <t>-          Menginfokan ketidak sesuaian gambar terhadap produk jadi</t>
  </si>
  <si>
    <t>-          Melakukan Evaluasi bersama khususnya produk produk Costum</t>
  </si>
  <si>
    <t>-          Untuk mencapai target costumer komplaint 0% dan kualitas produksi ,supaya diterapkan system Self Qc , Setiap operator produksi menjadi bagian dari QC dalam proses produksi memastikan apa yang dibuat sudah sesuai standar / sop</t>
  </si>
  <si>
    <t>-          Bersama sama menerapkan Training Qc kepada SDM produksi tentang standar kualitas Produk.</t>
  </si>
  <si>
    <t>0/Bulan</t>
  </si>
  <si>
    <t xml:space="preserve">Kecepatan menjawab ROP Sales dan komplain </t>
  </si>
  <si>
    <t>Mengendalikan biaya lembur</t>
  </si>
  <si>
    <t>Mengendalikan Biaya FOH-Kimia</t>
  </si>
  <si>
    <t>Mengandalikan Biaya FOH-Bahan Pembantu &amp; Alat Bantu</t>
  </si>
  <si>
    <t>Mengendalikan Biaya  Limbah</t>
  </si>
  <si>
    <t>Reguler</t>
  </si>
  <si>
    <t xml:space="preserve">Mengurangi pemakaian listrik penerangan </t>
  </si>
  <si>
    <t xml:space="preserve">1. Meningkatkan program cost efisiensi </t>
  </si>
  <si>
    <t>2. Mengurangi kesalahan saat berjalannya prorses produksi self QC</t>
  </si>
  <si>
    <r>
      <t xml:space="preserve">Availability </t>
    </r>
    <r>
      <rPr>
        <sz val="12"/>
        <rFont val="Calibri"/>
        <family val="2"/>
        <scheme val="minor"/>
      </rPr>
      <t>(ketersediaan)</t>
    </r>
  </si>
  <si>
    <t>1. Pengembangan sistem informasi berbasis digitalisasi</t>
  </si>
  <si>
    <t>Availability</t>
  </si>
  <si>
    <t>Dalam suatu proses produksi, sebuah mesin memerlukan waktu untuk set up yang memakan waktu 10 menit/shift.</t>
  </si>
  <si>
    <t>Jawab :</t>
  </si>
  <si>
    <t>Loading time = total waktu yang tersedia – loss time = 480 menit – (10 menit + 20 menit) = 450 menit</t>
  </si>
  <si>
    <t>Performance</t>
  </si>
  <si>
    <t>Dalam suatu waktu proses produksi, suatu mesin mampu membuat produk sebanyak 400 pcs/shift.</t>
  </si>
  <si>
    <t>Quality</t>
  </si>
  <si>
    <t>Dalam suatu proses produksi, sebuah mesin mampu menghasilkan produk sebanyak 500 pcs/shift dengan jumlah cacat produk sebanyak 10 pcs/shift.</t>
  </si>
  <si>
    <t>Maka, berapakan nilai quality dari mesin tersebut?</t>
  </si>
  <si>
    <t>Realisasi FOH Produksi nett sales</t>
  </si>
  <si>
    <t>1. Mengidentifikasi mesin yang akan di monitoring</t>
  </si>
  <si>
    <t>2. Terlibat dalam desain sistem monitoring mesin</t>
  </si>
  <si>
    <t>Pengerjaan produk baru berdasarkan time line</t>
  </si>
  <si>
    <t>2 Minggu</t>
  </si>
  <si>
    <t>Mengurangi Biaya General Supply</t>
  </si>
  <si>
    <t>&lt; 1/2 hari</t>
  </si>
  <si>
    <r>
      <t xml:space="preserve">2. Implementasi program Total Productive Maintenance (TPM) --&gt; OEE </t>
    </r>
    <r>
      <rPr>
        <sz val="12"/>
        <color indexed="8"/>
        <rFont val="Calibri"/>
        <family val="2"/>
      </rPr>
      <t xml:space="preserve">≥ </t>
    </r>
    <r>
      <rPr>
        <sz val="10.199999999999999"/>
        <color indexed="8"/>
        <rFont val="Calibri"/>
        <family val="2"/>
      </rPr>
      <t>85%</t>
    </r>
  </si>
  <si>
    <t>&gt; 85%</t>
  </si>
  <si>
    <t>Semua Bagian</t>
  </si>
  <si>
    <t xml:space="preserve">Jam kerja dalam waktu satu shift adalah 8 jam atau 480 menit, sedangkan total waktu yang diperlukan untuk membuat 1 pcs produk adalah satu menit per pcs. </t>
  </si>
  <si>
    <t>Berapakan nilai performansi dari mesin tersebut?</t>
  </si>
  <si>
    <t xml:space="preserve">Sedangkan total jam kerja dalam 1 shift adalah 8 jam atau 480 menit, sedangkan downtime yang terjadi karena permasalahan mesin memakan waktu 20 menit, </t>
  </si>
  <si>
    <t>maka berapakah nilai availability pada mesin?</t>
  </si>
  <si>
    <r>
      <t xml:space="preserve">Availability = (loading time / total waktu yang tersedia) x 100 % = (450 menit / 480 menit) x 100% = </t>
    </r>
    <r>
      <rPr>
        <b/>
        <sz val="11"/>
        <color theme="1"/>
        <rFont val="Calibri"/>
        <family val="2"/>
        <scheme val="minor"/>
      </rPr>
      <t>93 %</t>
    </r>
  </si>
  <si>
    <r>
      <t xml:space="preserve">Performance = (jumlah produk yang dihasilkan / total waktu yang tersedia x cycle time) x 100 % = (400 pcs / 480 menit x 1 menit) x 100% = </t>
    </r>
    <r>
      <rPr>
        <b/>
        <sz val="11"/>
        <color theme="1"/>
        <rFont val="Calibri"/>
        <family val="2"/>
        <scheme val="minor"/>
      </rPr>
      <t>83%</t>
    </r>
  </si>
  <si>
    <r>
      <t xml:space="preserve">Jumlah produk baik = total output produksi – jumlah cacat = 500 pcs– 10 pcs = 490 pcs Quality = (jumlah produk baik / total produk yang dihasilkan) x 100 % = (490 pcs / 500 pcs) x 100% = </t>
    </r>
    <r>
      <rPr>
        <b/>
        <sz val="11"/>
        <color theme="1"/>
        <rFont val="Calibri"/>
        <family val="2"/>
        <scheme val="minor"/>
      </rPr>
      <t>98%</t>
    </r>
  </si>
  <si>
    <t>OEE =</t>
  </si>
  <si>
    <t>A X P X Q</t>
  </si>
  <si>
    <r>
      <rPr>
        <b/>
        <u/>
        <sz val="11"/>
        <color theme="1"/>
        <rFont val="Georgia"/>
        <family val="1"/>
      </rPr>
      <t xml:space="preserve">Availability Loss: </t>
    </r>
    <r>
      <rPr>
        <sz val="11"/>
        <color theme="1"/>
        <rFont val="Georgia"/>
        <family val="1"/>
      </rPr>
      <t>termasuk semua hal yang menghentikan produksi yang terjadwal, yang menyita cukup banyak waktu (biasanya beberapa menit). Misalnya, mesin macet, </t>
    </r>
    <r>
      <rPr>
        <i/>
        <sz val="11"/>
        <color theme="1"/>
        <rFont val="Georgia"/>
        <family val="1"/>
      </rPr>
      <t>maintenance</t>
    </r>
    <r>
      <rPr>
        <sz val="11"/>
        <color theme="1"/>
        <rFont val="Georgia"/>
        <family val="1"/>
      </rPr>
      <t> yang dilakukan diluar jadwal, kekurangan material, dan changeover.</t>
    </r>
  </si>
  <si>
    <r>
      <rPr>
        <b/>
        <u/>
        <sz val="11"/>
        <color theme="1"/>
        <rFont val="Georgia"/>
        <family val="1"/>
      </rPr>
      <t>Performance Loss:</t>
    </r>
    <r>
      <rPr>
        <sz val="11"/>
        <color theme="1"/>
        <rFont val="Georgia"/>
        <family val="1"/>
      </rPr>
      <t xml:space="preserve"> termasuk semua faktor yang menyebabkan proses berjalan lebih lambat daripada kecepatan maksimumnya (termasuk </t>
    </r>
    <r>
      <rPr>
        <i/>
        <sz val="11"/>
        <color theme="1"/>
        <rFont val="Georgia"/>
        <family val="1"/>
      </rPr>
      <t>slow cycle</t>
    </r>
    <r>
      <rPr>
        <sz val="11"/>
        <color theme="1"/>
        <rFont val="Georgia"/>
        <family val="1"/>
      </rPr>
      <t> dan </t>
    </r>
    <r>
      <rPr>
        <i/>
        <sz val="11"/>
        <color theme="1"/>
        <rFont val="Georgia"/>
        <family val="1"/>
      </rPr>
      <t>small stops</t>
    </r>
    <r>
      <rPr>
        <sz val="11"/>
        <color theme="1"/>
        <rFont val="Georgia"/>
        <family val="1"/>
      </rPr>
      <t>). Misalnya, interupsi penggunaan mesin, material yang tidak memenuhi standar mutu, dan kesalahan pemasangan.</t>
    </r>
  </si>
  <si>
    <r>
      <rPr>
        <b/>
        <u/>
        <sz val="11"/>
        <color theme="1"/>
        <rFont val="Georgia"/>
        <family val="1"/>
      </rPr>
      <t>Quality Loss:</t>
    </r>
    <r>
      <rPr>
        <sz val="11"/>
        <color theme="1"/>
        <rFont val="Georgia"/>
        <family val="1"/>
      </rPr>
      <t xml:space="preserve"> termasuk berkurangnya produktifitas dari salah satu bagian manufaktur yang tidak memenuhi standar kualitas setelah </t>
    </r>
    <r>
      <rPr>
        <i/>
        <sz val="11"/>
        <color theme="1"/>
        <rFont val="Georgia"/>
        <family val="1"/>
      </rPr>
      <t>first pass</t>
    </r>
    <r>
      <rPr>
        <sz val="11"/>
        <color theme="1"/>
        <rFont val="Georgia"/>
        <family val="1"/>
      </rPr>
      <t> (seperti dalam konsep </t>
    </r>
    <r>
      <rPr>
        <i/>
        <sz val="11"/>
        <color theme="1"/>
        <rFont val="Georgia"/>
        <family val="1"/>
      </rPr>
      <t>first pass </t>
    </r>
    <r>
      <rPr>
        <sz val="11"/>
        <color theme="1"/>
        <rFont val="Georgia"/>
        <family val="1"/>
      </rPr>
      <t>yield). Misalnya scrap dan part yang membutuhkan </t>
    </r>
    <r>
      <rPr>
        <i/>
        <sz val="11"/>
        <color theme="1"/>
        <rFont val="Georgia"/>
        <family val="1"/>
      </rPr>
      <t>rework</t>
    </r>
    <r>
      <rPr>
        <sz val="11"/>
        <color theme="1"/>
        <rFont val="Georgia"/>
        <family val="1"/>
      </rPr>
      <t>.</t>
    </r>
  </si>
  <si>
    <t>Minimize 3 Losses</t>
  </si>
  <si>
    <r>
      <t xml:space="preserve">1. SOP dijalankan dengan ketat (audit SOP berkala bulanan)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tidak menerima barang gagal, tidak membuat produk gagal, tidak memproses barang yang kurang</t>
    </r>
  </si>
  <si>
    <t>Return produk, perbaikan produk, gagal kirim, kekurangan komponen. (Komplain produk/ bulan)</t>
  </si>
  <si>
    <t>4. Koordinasi rutin dan pelatihan kualitas tiap seksi tentang kualitas</t>
  </si>
  <si>
    <t>3. Melakukan pengecekan berulang terhadap spek teknis produk sebelum, saat di produksi dan sesudah diproduksi</t>
  </si>
  <si>
    <t>1 Gudang IC PPIC</t>
  </si>
  <si>
    <t xml:space="preserve">2 Engineering </t>
  </si>
  <si>
    <t xml:space="preserve">3 MSD </t>
  </si>
  <si>
    <t>4 RnD</t>
  </si>
  <si>
    <t xml:space="preserve">5 QC </t>
  </si>
  <si>
    <t>Realisasi direct labour cost terhadap nett sales</t>
  </si>
  <si>
    <t>Max 3 hari setelah ACC dari PPIC</t>
  </si>
  <si>
    <t>Score 60 persen yaitu produksi dianggap wajar, tapi menunjukkan ada ruang yang besar untuk improvement.</t>
  </si>
  <si>
    <t>sistem pelaporan hasil produksi</t>
  </si>
  <si>
    <t>pengembangan sistem alarm mesin mencegahan kecelakaan kerja</t>
  </si>
  <si>
    <t>Kegagalan G1/ bulan</t>
  </si>
  <si>
    <t>1. Kecepatan waktu perbaikan G1</t>
  </si>
  <si>
    <t>Pelatihan Kualitas</t>
  </si>
  <si>
    <t>1xsebulan</t>
  </si>
  <si>
    <t>1. Mengatur jadwal pelatihan untuk meningkatkan kualitas</t>
  </si>
  <si>
    <t>Pengembangan Sistem monitoring mesin/pengembangan otomasi untuk hasil produksi (counter)</t>
  </si>
  <si>
    <t>1. Mengidentifikasi kebutuhan program</t>
  </si>
  <si>
    <t>Kompetensi karyawan Staf dan Non-Staf</t>
  </si>
  <si>
    <t>100% Staf berada pada kategori Match &amp; Above</t>
  </si>
  <si>
    <t>1. Melakukan assessment Kompetensi di akhir semester satu</t>
  </si>
  <si>
    <t>2. Melaksanakan program pengembangan kompetensi sesuai panduan HC</t>
  </si>
  <si>
    <t>Pelaksanaan Coaching</t>
  </si>
  <si>
    <t>Januari-Juli</t>
  </si>
  <si>
    <t>Juli -Desember</t>
  </si>
  <si>
    <t>Maret 2023</t>
  </si>
  <si>
    <t>1.Mengimplementasikan program coaching oleh Asmen dan Manager berbasis KPI BSC yang ditetapkan</t>
  </si>
  <si>
    <t>1. Mengimplementasikan program coaching oleh Asmen dan Manager berbasis assessment kompetensi</t>
  </si>
  <si>
    <t>1. Membuat Kaizen Strategis yang dapat diikutsertakan WOW Awards</t>
  </si>
  <si>
    <t>1. Membuat A3 report setiap bulan melalui email Tim Kaizen</t>
  </si>
  <si>
    <t>2. Melakukan perbaikan temuan 5S dan melakukan sosialisasi berkala di Departemen</t>
  </si>
  <si>
    <t>1. Mengimplementasikan piket 5S, program pemilahan sampah, dan penghematan energi di Departemen</t>
  </si>
  <si>
    <t>1. Menyusun Job Desc dan SOP sesuai dengan Kode Etik, GCG, Peraturan, dan perundangan yang berlaku</t>
  </si>
  <si>
    <t>BOBOT</t>
  </si>
  <si>
    <t>JANUARI</t>
  </si>
  <si>
    <t xml:space="preserve">REALISASI </t>
  </si>
  <si>
    <t>belum ada produk baru</t>
  </si>
  <si>
    <t>2 hari</t>
  </si>
  <si>
    <t>&lt;0,3% dari total  Produksi bulanan (APS)</t>
  </si>
  <si>
    <t>belum ada</t>
  </si>
  <si>
    <t>1/2 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</si>
</sst>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_(* #,##0.00_);_(* \(#,##0.00\);_(* &quot;-&quot;_);_(@_)"/>
    <numFmt numFmtId="169" formatCode="_(* #,##0.000_);_(* \(#,##0.000\);_(* &quot;-&quot;??_);_(@_)"/>
    <numFmt numFmtId="170" formatCode="_(* #,##0.000000_);_(* \(#,##0.000000\);_(* &quot;-&quot;??_);_(@_)"/>
    <numFmt numFmtId="171" formatCode="_(* #,##0.00000_);_(* \(#,##0.00000\);_(* &quot;-&quot;??_);_(@_)"/>
    <numFmt numFmtId="172" formatCode="_(* #,##0.0000_);_(* \(#,##0.0000\);_(* &quot;-&quot;??_);_(@_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Showcard Gothic"/>
      <family val="5"/>
    </font>
    <font>
      <b/>
      <sz val="12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theme="0"/>
      <name val="Arial Black"/>
      <family val="2"/>
    </font>
    <font>
      <b/>
      <sz val="11"/>
      <color indexed="8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0"/>
      <color rgb="FF0000FF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color rgb="FF404040"/>
      <name val="Source Sans Pro"/>
      <family val="2"/>
    </font>
    <font>
      <b/>
      <sz val="12"/>
      <color rgb="FF404040"/>
      <name val="Source Sans Pro"/>
      <family val="2"/>
    </font>
    <font>
      <b/>
      <sz val="10"/>
      <color rgb="FF404040"/>
      <name val="Amasis MT Pro"/>
      <family val="1"/>
    </font>
    <font>
      <b/>
      <i/>
      <sz val="11"/>
      <color rgb="FF404040"/>
      <name val="Amasis MT Pro"/>
      <family val="1"/>
    </font>
    <font>
      <sz val="11"/>
      <color theme="1"/>
      <name val="Georgia"/>
      <family val="1"/>
    </font>
    <font>
      <i/>
      <sz val="11"/>
      <color theme="1"/>
      <name val="Georgia"/>
      <family val="1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2"/>
      <color indexed="8"/>
      <name val="Calibri"/>
      <family val="2"/>
    </font>
    <font>
      <sz val="10.199999999999999"/>
      <color indexed="8"/>
      <name val="Calibri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color theme="1"/>
      <name val="Georgia"/>
      <family val="1"/>
    </font>
    <font>
      <b/>
      <i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34"/>
      </patternFill>
    </fill>
  </fills>
  <borders count="6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41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404">
    <xf numFmtId="0" fontId="0" fillId="0" borderId="0" xfId="0"/>
    <xf numFmtId="0" fontId="3" fillId="0" borderId="0" xfId="2" applyAlignment="1">
      <alignment vertical="center"/>
    </xf>
    <xf numFmtId="0" fontId="3" fillId="0" borderId="0" xfId="2" applyAlignment="1">
      <alignment vertical="center" wrapText="1"/>
    </xf>
    <xf numFmtId="0" fontId="5" fillId="4" borderId="13" xfId="2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/>
    </xf>
    <xf numFmtId="0" fontId="0" fillId="4" borderId="13" xfId="0" applyFill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0" fontId="0" fillId="4" borderId="13" xfId="0" applyFill="1" applyBorder="1"/>
    <xf numFmtId="9" fontId="5" fillId="4" borderId="16" xfId="1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11" fillId="0" borderId="0" xfId="0" applyFont="1"/>
    <xf numFmtId="0" fontId="0" fillId="4" borderId="26" xfId="0" applyFill="1" applyBorder="1" applyAlignment="1">
      <alignment vertical="center"/>
    </xf>
    <xf numFmtId="0" fontId="18" fillId="0" borderId="0" xfId="0" applyFont="1"/>
    <xf numFmtId="0" fontId="7" fillId="0" borderId="0" xfId="0" applyFont="1"/>
    <xf numFmtId="9" fontId="7" fillId="0" borderId="0" xfId="1" applyFont="1" applyFill="1"/>
    <xf numFmtId="43" fontId="7" fillId="0" borderId="0" xfId="7" applyFont="1" applyFill="1"/>
    <xf numFmtId="9" fontId="7" fillId="0" borderId="0" xfId="1" applyFont="1" applyFill="1" applyAlignment="1">
      <alignment horizontal="right"/>
    </xf>
    <xf numFmtId="167" fontId="7" fillId="0" borderId="0" xfId="7" applyNumberFormat="1" applyFont="1" applyFill="1"/>
    <xf numFmtId="164" fontId="7" fillId="0" borderId="0" xfId="0" applyNumberFormat="1" applyFont="1"/>
    <xf numFmtId="0" fontId="19" fillId="0" borderId="0" xfId="0" applyFont="1"/>
    <xf numFmtId="167" fontId="7" fillId="0" borderId="0" xfId="0" applyNumberFormat="1" applyFont="1"/>
    <xf numFmtId="0" fontId="20" fillId="0" borderId="0" xfId="0" applyFont="1"/>
    <xf numFmtId="41" fontId="7" fillId="0" borderId="0" xfId="3" applyFont="1" applyFill="1"/>
    <xf numFmtId="41" fontId="21" fillId="9" borderId="41" xfId="3" applyFont="1" applyFill="1" applyBorder="1" applyAlignment="1">
      <alignment horizontal="center" vertical="center"/>
    </xf>
    <xf numFmtId="164" fontId="21" fillId="9" borderId="42" xfId="8" applyFont="1" applyFill="1" applyBorder="1" applyAlignment="1" applyProtection="1">
      <alignment horizontal="center" vertical="center"/>
    </xf>
    <xf numFmtId="164" fontId="21" fillId="9" borderId="42" xfId="8" applyFont="1" applyFill="1" applyBorder="1" applyAlignment="1" applyProtection="1">
      <alignment horizontal="center" vertical="center" wrapText="1"/>
    </xf>
    <xf numFmtId="43" fontId="7" fillId="0" borderId="41" xfId="7" applyFont="1" applyFill="1" applyBorder="1" applyAlignment="1">
      <alignment vertical="center"/>
    </xf>
    <xf numFmtId="9" fontId="7" fillId="0" borderId="41" xfId="1" applyFont="1" applyFill="1" applyBorder="1" applyAlignment="1">
      <alignment horizontal="center" vertical="center" wrapText="1"/>
    </xf>
    <xf numFmtId="167" fontId="7" fillId="0" borderId="0" xfId="7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41" fontId="18" fillId="0" borderId="43" xfId="3" applyFont="1" applyFill="1" applyBorder="1"/>
    <xf numFmtId="43" fontId="7" fillId="0" borderId="44" xfId="7" applyFont="1" applyFill="1" applyBorder="1"/>
    <xf numFmtId="9" fontId="7" fillId="0" borderId="44" xfId="1" applyFont="1" applyFill="1" applyBorder="1" applyAlignment="1">
      <alignment horizontal="right"/>
    </xf>
    <xf numFmtId="41" fontId="18" fillId="0" borderId="44" xfId="3" applyFont="1" applyFill="1" applyBorder="1"/>
    <xf numFmtId="41" fontId="18" fillId="0" borderId="45" xfId="3" applyFont="1" applyFill="1" applyBorder="1"/>
    <xf numFmtId="43" fontId="7" fillId="0" borderId="45" xfId="7" applyFont="1" applyFill="1" applyBorder="1"/>
    <xf numFmtId="9" fontId="7" fillId="0" borderId="45" xfId="1" applyFont="1" applyFill="1" applyBorder="1" applyAlignment="1">
      <alignment horizontal="right"/>
    </xf>
    <xf numFmtId="41" fontId="22" fillId="0" borderId="44" xfId="3" applyFont="1" applyFill="1" applyBorder="1"/>
    <xf numFmtId="41" fontId="18" fillId="0" borderId="44" xfId="3" applyFont="1" applyFill="1" applyBorder="1" applyAlignment="1">
      <alignment horizontal="left" indent="1"/>
    </xf>
    <xf numFmtId="41" fontId="18" fillId="0" borderId="41" xfId="3" applyFont="1" applyFill="1" applyBorder="1"/>
    <xf numFmtId="43" fontId="7" fillId="0" borderId="41" xfId="7" applyFont="1" applyFill="1" applyBorder="1"/>
    <xf numFmtId="9" fontId="7" fillId="0" borderId="41" xfId="1" applyFont="1" applyFill="1" applyBorder="1" applyAlignment="1">
      <alignment horizontal="right"/>
    </xf>
    <xf numFmtId="9" fontId="23" fillId="0" borderId="44" xfId="3" applyNumberFormat="1" applyFont="1" applyFill="1" applyBorder="1"/>
    <xf numFmtId="9" fontId="19" fillId="0" borderId="44" xfId="1" applyFont="1" applyFill="1" applyBorder="1"/>
    <xf numFmtId="41" fontId="18" fillId="0" borderId="44" xfId="3" applyFont="1" applyFill="1" applyBorder="1" applyAlignment="1">
      <alignment horizontal="left"/>
    </xf>
    <xf numFmtId="41" fontId="18" fillId="0" borderId="44" xfId="3" applyFont="1" applyFill="1" applyBorder="1" applyAlignment="1">
      <alignment horizontal="center"/>
    </xf>
    <xf numFmtId="41" fontId="24" fillId="0" borderId="44" xfId="3" applyFont="1" applyFill="1" applyBorder="1" applyAlignment="1">
      <alignment horizontal="center"/>
    </xf>
    <xf numFmtId="9" fontId="19" fillId="0" borderId="44" xfId="1" applyFont="1" applyFill="1" applyBorder="1" applyAlignment="1">
      <alignment horizontal="right"/>
    </xf>
    <xf numFmtId="41" fontId="23" fillId="0" borderId="44" xfId="3" applyFont="1" applyFill="1" applyBorder="1"/>
    <xf numFmtId="9" fontId="23" fillId="0" borderId="41" xfId="3" applyNumberFormat="1" applyFont="1" applyFill="1" applyBorder="1"/>
    <xf numFmtId="10" fontId="19" fillId="0" borderId="41" xfId="1" applyNumberFormat="1" applyFont="1" applyFill="1" applyBorder="1"/>
    <xf numFmtId="41" fontId="23" fillId="0" borderId="0" xfId="3" applyFont="1" applyFill="1" applyBorder="1"/>
    <xf numFmtId="41" fontId="25" fillId="0" borderId="0" xfId="3" applyFont="1" applyFill="1" applyBorder="1"/>
    <xf numFmtId="41" fontId="26" fillId="0" borderId="44" xfId="3" applyFont="1" applyFill="1" applyBorder="1" applyAlignment="1">
      <alignment horizontal="left" vertical="center"/>
    </xf>
    <xf numFmtId="164" fontId="18" fillId="0" borderId="44" xfId="8" applyFont="1" applyFill="1" applyBorder="1" applyProtection="1"/>
    <xf numFmtId="41" fontId="26" fillId="0" borderId="44" xfId="3" applyFont="1" applyFill="1" applyBorder="1"/>
    <xf numFmtId="41" fontId="26" fillId="0" borderId="44" xfId="3" applyFont="1" applyFill="1" applyBorder="1" applyAlignment="1">
      <alignment horizontal="left"/>
    </xf>
    <xf numFmtId="41" fontId="27" fillId="0" borderId="46" xfId="3" applyFont="1" applyFill="1" applyBorder="1"/>
    <xf numFmtId="41" fontId="28" fillId="0" borderId="41" xfId="3" applyFont="1" applyFill="1" applyBorder="1" applyAlignment="1">
      <alignment horizontal="left"/>
    </xf>
    <xf numFmtId="41" fontId="28" fillId="0" borderId="0" xfId="3" applyFont="1" applyFill="1" applyBorder="1" applyAlignment="1">
      <alignment horizontal="right"/>
    </xf>
    <xf numFmtId="41" fontId="29" fillId="0" borderId="0" xfId="3" applyFont="1" applyFill="1" applyBorder="1"/>
    <xf numFmtId="164" fontId="19" fillId="0" borderId="0" xfId="1" applyNumberFormat="1" applyFont="1" applyFill="1" applyBorder="1"/>
    <xf numFmtId="167" fontId="18" fillId="0" borderId="44" xfId="7" applyNumberFormat="1" applyFont="1" applyFill="1" applyBorder="1" applyProtection="1"/>
    <xf numFmtId="41" fontId="18" fillId="0" borderId="0" xfId="3" applyFont="1" applyFill="1" applyBorder="1"/>
    <xf numFmtId="41" fontId="30" fillId="0" borderId="0" xfId="3" applyFont="1" applyFill="1" applyBorder="1"/>
    <xf numFmtId="41" fontId="7" fillId="0" borderId="0" xfId="3" applyFont="1" applyFill="1" applyBorder="1"/>
    <xf numFmtId="41" fontId="31" fillId="0" borderId="0" xfId="3" applyFont="1" applyFill="1" applyBorder="1"/>
    <xf numFmtId="41" fontId="32" fillId="0" borderId="0" xfId="3" applyFont="1" applyFill="1" applyBorder="1"/>
    <xf numFmtId="168" fontId="7" fillId="0" borderId="0" xfId="0" applyNumberFormat="1" applyFont="1"/>
    <xf numFmtId="0" fontId="22" fillId="0" borderId="0" xfId="0" applyFont="1"/>
    <xf numFmtId="41" fontId="21" fillId="0" borderId="44" xfId="3" applyFont="1" applyFill="1" applyBorder="1" applyAlignment="1">
      <alignment horizontal="left" vertical="center"/>
    </xf>
    <xf numFmtId="41" fontId="21" fillId="0" borderId="44" xfId="3" applyFont="1" applyFill="1" applyBorder="1" applyAlignment="1">
      <alignment vertical="center"/>
    </xf>
    <xf numFmtId="41" fontId="21" fillId="0" borderId="41" xfId="3" applyFont="1" applyFill="1" applyBorder="1" applyAlignment="1">
      <alignment horizontal="left" vertical="center"/>
    </xf>
    <xf numFmtId="41" fontId="21" fillId="0" borderId="41" xfId="3" applyFont="1" applyFill="1" applyBorder="1" applyAlignment="1">
      <alignment vertical="center"/>
    </xf>
    <xf numFmtId="41" fontId="19" fillId="0" borderId="44" xfId="3" applyFont="1" applyFill="1" applyBorder="1" applyAlignment="1">
      <alignment vertical="center"/>
    </xf>
    <xf numFmtId="169" fontId="19" fillId="0" borderId="44" xfId="7" applyNumberFormat="1" applyFont="1" applyFill="1" applyBorder="1" applyAlignment="1" applyProtection="1">
      <alignment vertical="center"/>
    </xf>
    <xf numFmtId="41" fontId="21" fillId="0" borderId="44" xfId="3" applyFont="1" applyFill="1" applyBorder="1" applyAlignment="1">
      <alignment horizontal="left" vertical="center" indent="1"/>
    </xf>
    <xf numFmtId="41" fontId="18" fillId="0" borderId="44" xfId="3" applyFont="1" applyFill="1" applyBorder="1" applyAlignment="1">
      <alignment vertical="center"/>
    </xf>
    <xf numFmtId="0" fontId="18" fillId="0" borderId="0" xfId="0" applyFont="1" applyAlignment="1">
      <alignment vertical="center"/>
    </xf>
    <xf numFmtId="41" fontId="18" fillId="0" borderId="44" xfId="3" applyFont="1" applyFill="1" applyBorder="1" applyAlignment="1">
      <alignment horizontal="left" vertical="center" indent="1"/>
    </xf>
    <xf numFmtId="167" fontId="18" fillId="0" borderId="0" xfId="7" applyNumberFormat="1" applyFont="1" applyFill="1" applyAlignment="1">
      <alignment vertical="center"/>
    </xf>
    <xf numFmtId="166" fontId="7" fillId="0" borderId="0" xfId="1" applyNumberFormat="1" applyFont="1" applyFill="1"/>
    <xf numFmtId="167" fontId="21" fillId="0" borderId="45" xfId="7" applyNumberFormat="1" applyFont="1" applyFill="1" applyBorder="1" applyAlignment="1"/>
    <xf numFmtId="41" fontId="21" fillId="0" borderId="41" xfId="3" applyFont="1" applyFill="1" applyBorder="1" applyAlignment="1">
      <alignment horizontal="left"/>
    </xf>
    <xf numFmtId="167" fontId="21" fillId="0" borderId="41" xfId="7" applyNumberFormat="1" applyFont="1" applyFill="1" applyBorder="1" applyAlignment="1"/>
    <xf numFmtId="9" fontId="7" fillId="0" borderId="41" xfId="1" applyFont="1" applyFill="1" applyBorder="1"/>
    <xf numFmtId="41" fontId="21" fillId="0" borderId="47" xfId="3" applyFont="1" applyFill="1" applyBorder="1" applyAlignment="1">
      <alignment horizontal="centerContinuous"/>
    </xf>
    <xf numFmtId="170" fontId="19" fillId="0" borderId="44" xfId="7" applyNumberFormat="1" applyFont="1" applyFill="1" applyBorder="1"/>
    <xf numFmtId="171" fontId="19" fillId="0" borderId="44" xfId="7" applyNumberFormat="1" applyFont="1" applyFill="1" applyBorder="1"/>
    <xf numFmtId="172" fontId="19" fillId="0" borderId="44" xfId="7" applyNumberFormat="1" applyFont="1" applyFill="1" applyBorder="1"/>
    <xf numFmtId="41" fontId="18" fillId="0" borderId="47" xfId="3" applyFont="1" applyFill="1" applyBorder="1"/>
    <xf numFmtId="9" fontId="18" fillId="0" borderId="44" xfId="1" applyFont="1" applyFill="1" applyBorder="1" applyProtection="1"/>
    <xf numFmtId="41" fontId="18" fillId="0" borderId="48" xfId="3" applyFont="1" applyFill="1" applyBorder="1" applyAlignment="1">
      <alignment horizontal="left"/>
    </xf>
    <xf numFmtId="167" fontId="7" fillId="0" borderId="41" xfId="7" applyNumberFormat="1" applyFont="1" applyFill="1" applyBorder="1"/>
    <xf numFmtId="41" fontId="18" fillId="0" borderId="47" xfId="3" applyFont="1" applyFill="1" applyBorder="1" applyAlignment="1">
      <alignment horizontal="left"/>
    </xf>
    <xf numFmtId="41" fontId="21" fillId="0" borderId="48" xfId="3" applyFont="1" applyFill="1" applyBorder="1"/>
    <xf numFmtId="9" fontId="18" fillId="0" borderId="41" xfId="1" applyFont="1" applyFill="1" applyBorder="1" applyProtection="1"/>
    <xf numFmtId="41" fontId="24" fillId="0" borderId="48" xfId="3" applyFont="1" applyFill="1" applyBorder="1"/>
    <xf numFmtId="167" fontId="18" fillId="0" borderId="41" xfId="7" applyNumberFormat="1" applyFont="1" applyFill="1" applyBorder="1" applyProtection="1"/>
    <xf numFmtId="41" fontId="24" fillId="0" borderId="49" xfId="3" applyFont="1" applyFill="1" applyBorder="1"/>
    <xf numFmtId="167" fontId="18" fillId="0" borderId="50" xfId="7" applyNumberFormat="1" applyFont="1" applyFill="1" applyBorder="1" applyProtection="1"/>
    <xf numFmtId="43" fontId="7" fillId="0" borderId="0" xfId="0" applyNumberFormat="1" applyFont="1"/>
    <xf numFmtId="167" fontId="19" fillId="0" borderId="44" xfId="1" applyNumberFormat="1" applyFont="1" applyFill="1" applyBorder="1"/>
    <xf numFmtId="167" fontId="7" fillId="0" borderId="44" xfId="7" applyNumberFormat="1" applyFont="1" applyFill="1" applyBorder="1"/>
    <xf numFmtId="41" fontId="24" fillId="0" borderId="47" xfId="3" applyFont="1" applyFill="1" applyBorder="1" applyAlignment="1">
      <alignment horizontal="left"/>
    </xf>
    <xf numFmtId="9" fontId="18" fillId="5" borderId="44" xfId="1" applyFont="1" applyFill="1" applyBorder="1" applyProtection="1"/>
    <xf numFmtId="41" fontId="18" fillId="0" borderId="48" xfId="3" applyFont="1" applyFill="1" applyBorder="1"/>
    <xf numFmtId="10" fontId="19" fillId="0" borderId="44" xfId="1" applyNumberFormat="1" applyFont="1" applyFill="1" applyBorder="1"/>
    <xf numFmtId="41" fontId="24" fillId="0" borderId="47" xfId="3" applyFont="1" applyFill="1" applyBorder="1"/>
    <xf numFmtId="0" fontId="7" fillId="0" borderId="44" xfId="0" applyFont="1" applyBorder="1"/>
    <xf numFmtId="41" fontId="33" fillId="0" borderId="47" xfId="3" applyFont="1" applyFill="1" applyBorder="1"/>
    <xf numFmtId="41" fontId="34" fillId="0" borderId="47" xfId="3" applyFont="1" applyFill="1" applyBorder="1" applyAlignment="1">
      <alignment horizontal="left"/>
    </xf>
    <xf numFmtId="9" fontId="24" fillId="0" borderId="51" xfId="1" applyFont="1" applyFill="1" applyBorder="1"/>
    <xf numFmtId="9" fontId="19" fillId="0" borderId="45" xfId="1" applyFont="1" applyFill="1" applyBorder="1"/>
    <xf numFmtId="41" fontId="24" fillId="0" borderId="0" xfId="3" applyFont="1" applyFill="1" applyBorder="1"/>
    <xf numFmtId="165" fontId="7" fillId="0" borderId="0" xfId="0" applyNumberFormat="1" applyFont="1"/>
    <xf numFmtId="41" fontId="21" fillId="0" borderId="48" xfId="3" applyFont="1" applyFill="1" applyBorder="1" applyAlignment="1">
      <alignment horizontal="left"/>
    </xf>
    <xf numFmtId="164" fontId="7" fillId="0" borderId="41" xfId="0" applyNumberFormat="1" applyFont="1" applyBorder="1"/>
    <xf numFmtId="41" fontId="21" fillId="0" borderId="47" xfId="3" quotePrefix="1" applyFont="1" applyFill="1" applyBorder="1" applyAlignment="1">
      <alignment horizontal="left"/>
    </xf>
    <xf numFmtId="41" fontId="18" fillId="0" borderId="52" xfId="3" applyFont="1" applyFill="1" applyBorder="1" applyAlignment="1">
      <alignment horizontal="left"/>
    </xf>
    <xf numFmtId="167" fontId="7" fillId="0" borderId="53" xfId="7" applyNumberFormat="1" applyFont="1" applyFill="1" applyBorder="1"/>
    <xf numFmtId="41" fontId="21" fillId="0" borderId="19" xfId="3" applyFont="1" applyFill="1" applyBorder="1"/>
    <xf numFmtId="167" fontId="7" fillId="0" borderId="54" xfId="7" applyNumberFormat="1" applyFont="1" applyFill="1" applyBorder="1"/>
    <xf numFmtId="41" fontId="35" fillId="0" borderId="0" xfId="3" applyFont="1" applyFill="1" applyBorder="1" applyAlignment="1">
      <alignment horizontal="right"/>
    </xf>
    <xf numFmtId="167" fontId="19" fillId="0" borderId="0" xfId="7" applyNumberFormat="1" applyFont="1" applyFill="1" applyBorder="1"/>
    <xf numFmtId="41" fontId="21" fillId="0" borderId="0" xfId="3" applyFont="1" applyFill="1" applyBorder="1" applyAlignment="1">
      <alignment horizontal="left"/>
    </xf>
    <xf numFmtId="167" fontId="7" fillId="0" borderId="0" xfId="7" applyNumberFormat="1" applyFont="1" applyFill="1" applyBorder="1"/>
    <xf numFmtId="41" fontId="21" fillId="0" borderId="54" xfId="3" applyFont="1" applyFill="1" applyBorder="1"/>
    <xf numFmtId="41" fontId="21" fillId="0" borderId="55" xfId="3" applyFont="1" applyFill="1" applyBorder="1"/>
    <xf numFmtId="43" fontId="7" fillId="0" borderId="0" xfId="7" applyFont="1" applyFill="1" applyAlignment="1">
      <alignment vertical="center"/>
    </xf>
    <xf numFmtId="9" fontId="7" fillId="0" borderId="0" xfId="1" applyFont="1" applyFill="1" applyAlignment="1">
      <alignment horizontal="right" vertical="center"/>
    </xf>
    <xf numFmtId="41" fontId="18" fillId="3" borderId="47" xfId="3" applyFont="1" applyFill="1" applyBorder="1"/>
    <xf numFmtId="167" fontId="18" fillId="3" borderId="44" xfId="7" applyNumberFormat="1" applyFont="1" applyFill="1" applyBorder="1" applyProtection="1"/>
    <xf numFmtId="0" fontId="36" fillId="7" borderId="13" xfId="0" applyFont="1" applyFill="1" applyBorder="1" applyAlignment="1">
      <alignment horizontal="left" vertical="center"/>
    </xf>
    <xf numFmtId="0" fontId="37" fillId="4" borderId="16" xfId="2" applyFont="1" applyFill="1" applyBorder="1" applyAlignment="1">
      <alignment vertical="center" wrapText="1"/>
    </xf>
    <xf numFmtId="0" fontId="37" fillId="4" borderId="13" xfId="2" applyFont="1" applyFill="1" applyBorder="1" applyAlignment="1">
      <alignment horizontal="left" vertical="center" wrapText="1"/>
    </xf>
    <xf numFmtId="166" fontId="36" fillId="7" borderId="13" xfId="2" quotePrefix="1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37" fillId="7" borderId="13" xfId="2" applyFont="1" applyFill="1" applyBorder="1" applyAlignment="1">
      <alignment vertical="center" wrapText="1"/>
    </xf>
    <xf numFmtId="0" fontId="36" fillId="7" borderId="16" xfId="0" applyFont="1" applyFill="1" applyBorder="1" applyAlignment="1">
      <alignment horizontal="left" vertical="center"/>
    </xf>
    <xf numFmtId="0" fontId="0" fillId="4" borderId="1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4" borderId="32" xfId="0" applyFont="1" applyFill="1" applyBorder="1" applyAlignment="1">
      <alignment horizontal="left" vertical="center"/>
    </xf>
    <xf numFmtId="0" fontId="5" fillId="8" borderId="26" xfId="0" applyFont="1" applyFill="1" applyBorder="1" applyAlignment="1">
      <alignment horizontal="left" vertical="center" wrapText="1"/>
    </xf>
    <xf numFmtId="0" fontId="0" fillId="8" borderId="13" xfId="0" applyFill="1" applyBorder="1" applyAlignment="1">
      <alignment horizontal="left" vertical="center" wrapText="1"/>
    </xf>
    <xf numFmtId="0" fontId="5" fillId="8" borderId="13" xfId="0" applyFont="1" applyFill="1" applyBorder="1" applyAlignment="1">
      <alignment vertical="center" wrapText="1"/>
    </xf>
    <xf numFmtId="0" fontId="38" fillId="8" borderId="22" xfId="0" applyFont="1" applyFill="1" applyBorder="1" applyAlignment="1">
      <alignment vertical="center" wrapText="1"/>
    </xf>
    <xf numFmtId="0" fontId="36" fillId="8" borderId="22" xfId="2" applyFont="1" applyFill="1" applyBorder="1" applyAlignment="1">
      <alignment horizontal="left" vertical="center" wrapText="1"/>
    </xf>
    <xf numFmtId="0" fontId="0" fillId="8" borderId="23" xfId="0" applyFill="1" applyBorder="1" applyAlignment="1">
      <alignment vertical="center" wrapText="1"/>
    </xf>
    <xf numFmtId="0" fontId="15" fillId="4" borderId="22" xfId="0" applyFont="1" applyFill="1" applyBorder="1" applyAlignment="1">
      <alignment horizontal="center" vertical="center" wrapText="1" readingOrder="1"/>
    </xf>
    <xf numFmtId="0" fontId="37" fillId="4" borderId="22" xfId="2" applyFont="1" applyFill="1" applyBorder="1" applyAlignment="1">
      <alignment horizontal="left" vertical="center" wrapText="1"/>
    </xf>
    <xf numFmtId="0" fontId="4" fillId="4" borderId="23" xfId="2" applyFont="1" applyFill="1" applyBorder="1" applyAlignment="1">
      <alignment horizontal="left" vertical="center" wrapText="1"/>
    </xf>
    <xf numFmtId="0" fontId="10" fillId="4" borderId="35" xfId="2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/>
    </xf>
    <xf numFmtId="0" fontId="38" fillId="4" borderId="22" xfId="0" applyFont="1" applyFill="1" applyBorder="1" applyAlignment="1">
      <alignment horizontal="left" vertical="center" wrapText="1"/>
    </xf>
    <xf numFmtId="0" fontId="37" fillId="4" borderId="22" xfId="2" applyFont="1" applyFill="1" applyBorder="1" applyAlignment="1">
      <alignment vertical="center" wrapText="1"/>
    </xf>
    <xf numFmtId="0" fontId="37" fillId="4" borderId="26" xfId="2" applyFont="1" applyFill="1" applyBorder="1" applyAlignment="1">
      <alignment horizontal="left" vertical="center" wrapText="1"/>
    </xf>
    <xf numFmtId="0" fontId="5" fillId="4" borderId="26" xfId="2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vertical="center" wrapText="1"/>
    </xf>
    <xf numFmtId="0" fontId="0" fillId="4" borderId="23" xfId="0" applyFill="1" applyBorder="1"/>
    <xf numFmtId="0" fontId="0" fillId="0" borderId="0" xfId="0" applyAlignment="1">
      <alignment vertical="center" wrapText="1"/>
    </xf>
    <xf numFmtId="0" fontId="40" fillId="0" borderId="0" xfId="0" applyFont="1"/>
    <xf numFmtId="0" fontId="41" fillId="0" borderId="0" xfId="0" applyFont="1"/>
    <xf numFmtId="0" fontId="0" fillId="0" borderId="0" xfId="0" applyAlignment="1">
      <alignment vertical="center"/>
    </xf>
    <xf numFmtId="0" fontId="44" fillId="0" borderId="0" xfId="0" applyFont="1" applyAlignment="1">
      <alignment horizontal="left" vertical="center" wrapText="1" indent="1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9" fontId="11" fillId="0" borderId="13" xfId="0" applyNumberFormat="1" applyFont="1" applyBorder="1" applyAlignment="1">
      <alignment vertical="center" wrapText="1"/>
    </xf>
    <xf numFmtId="9" fontId="5" fillId="4" borderId="22" xfId="0" applyNumberFormat="1" applyFont="1" applyFill="1" applyBorder="1" applyAlignment="1">
      <alignment horizontal="center" vertical="center" wrapText="1"/>
    </xf>
    <xf numFmtId="9" fontId="5" fillId="8" borderId="22" xfId="2" quotePrefix="1" applyNumberFormat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 readingOrder="1"/>
    </xf>
    <xf numFmtId="0" fontId="37" fillId="8" borderId="22" xfId="2" applyFont="1" applyFill="1" applyBorder="1" applyAlignment="1">
      <alignment horizontal="left" vertical="center" wrapText="1"/>
    </xf>
    <xf numFmtId="166" fontId="5" fillId="4" borderId="22" xfId="0" applyNumberFormat="1" applyFont="1" applyFill="1" applyBorder="1" applyAlignment="1">
      <alignment horizontal="center" vertical="center" wrapText="1"/>
    </xf>
    <xf numFmtId="0" fontId="10" fillId="8" borderId="12" xfId="2" applyFont="1" applyFill="1" applyBorder="1" applyAlignment="1">
      <alignment horizontal="center" vertical="center" wrapText="1"/>
    </xf>
    <xf numFmtId="0" fontId="36" fillId="8" borderId="16" xfId="2" applyFont="1" applyFill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36" fillId="7" borderId="13" xfId="2" applyFont="1" applyFill="1" applyBorder="1" applyAlignment="1">
      <alignment vertical="center" wrapText="1"/>
    </xf>
    <xf numFmtId="9" fontId="37" fillId="7" borderId="13" xfId="2" applyNumberFormat="1" applyFont="1" applyFill="1" applyBorder="1" applyAlignment="1">
      <alignment horizontal="center" vertical="center"/>
    </xf>
    <xf numFmtId="9" fontId="37" fillId="7" borderId="13" xfId="2" applyNumberFormat="1" applyFont="1" applyFill="1" applyBorder="1" applyAlignment="1">
      <alignment horizontal="center" vertical="center" wrapText="1"/>
    </xf>
    <xf numFmtId="41" fontId="18" fillId="6" borderId="47" xfId="3" applyFont="1" applyFill="1" applyBorder="1"/>
    <xf numFmtId="167" fontId="18" fillId="6" borderId="44" xfId="7" applyNumberFormat="1" applyFont="1" applyFill="1" applyBorder="1" applyProtection="1"/>
    <xf numFmtId="0" fontId="37" fillId="8" borderId="26" xfId="2" applyFont="1" applyFill="1" applyBorder="1" applyAlignment="1">
      <alignment horizontal="left" vertical="center" wrapText="1"/>
    </xf>
    <xf numFmtId="9" fontId="5" fillId="8" borderId="26" xfId="0" applyNumberFormat="1" applyFont="1" applyFill="1" applyBorder="1" applyAlignment="1">
      <alignment horizontal="center" vertical="center" wrapText="1"/>
    </xf>
    <xf numFmtId="0" fontId="5" fillId="8" borderId="56" xfId="0" applyFont="1" applyFill="1" applyBorder="1"/>
    <xf numFmtId="0" fontId="37" fillId="8" borderId="13" xfId="2" applyFont="1" applyFill="1" applyBorder="1" applyAlignment="1">
      <alignment horizontal="left" vertical="center" wrapText="1"/>
    </xf>
    <xf numFmtId="9" fontId="5" fillId="8" borderId="13" xfId="0" applyNumberFormat="1" applyFont="1" applyFill="1" applyBorder="1" applyAlignment="1">
      <alignment horizontal="center" vertical="center" wrapText="1"/>
    </xf>
    <xf numFmtId="0" fontId="0" fillId="8" borderId="13" xfId="0" applyFill="1" applyBorder="1"/>
    <xf numFmtId="0" fontId="0" fillId="8" borderId="13" xfId="0" applyFill="1" applyBorder="1" applyAlignment="1">
      <alignment horizontal="left" vertical="center"/>
    </xf>
    <xf numFmtId="0" fontId="37" fillId="8" borderId="22" xfId="2" applyFont="1" applyFill="1" applyBorder="1" applyAlignment="1">
      <alignment vertical="center" wrapText="1"/>
    </xf>
    <xf numFmtId="0" fontId="37" fillId="8" borderId="23" xfId="2" applyFont="1" applyFill="1" applyBorder="1" applyAlignment="1">
      <alignment horizontal="left" vertical="center" wrapText="1"/>
    </xf>
    <xf numFmtId="9" fontId="5" fillId="8" borderId="23" xfId="0" applyNumberFormat="1" applyFont="1" applyFill="1" applyBorder="1" applyAlignment="1">
      <alignment horizontal="center" vertical="center" wrapText="1"/>
    </xf>
    <xf numFmtId="0" fontId="36" fillId="8" borderId="26" xfId="2" applyFont="1" applyFill="1" applyBorder="1" applyAlignment="1">
      <alignment horizontal="left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vertical="center"/>
    </xf>
    <xf numFmtId="17" fontId="5" fillId="8" borderId="13" xfId="0" applyNumberFormat="1" applyFont="1" applyFill="1" applyBorder="1" applyAlignment="1">
      <alignment horizontal="center" vertical="center" wrapText="1"/>
    </xf>
    <xf numFmtId="0" fontId="0" fillId="8" borderId="13" xfId="0" applyFill="1" applyBorder="1" applyAlignment="1">
      <alignment vertical="center"/>
    </xf>
    <xf numFmtId="0" fontId="15" fillId="8" borderId="23" xfId="0" applyFont="1" applyFill="1" applyBorder="1" applyAlignment="1">
      <alignment horizontal="center" vertical="center" wrapText="1" readingOrder="1"/>
    </xf>
    <xf numFmtId="0" fontId="36" fillId="8" borderId="23" xfId="0" quotePrefix="1" applyFont="1" applyFill="1" applyBorder="1" applyAlignment="1">
      <alignment horizontal="left" vertical="center" wrapText="1"/>
    </xf>
    <xf numFmtId="17" fontId="5" fillId="8" borderId="23" xfId="0" quotePrefix="1" applyNumberFormat="1" applyFont="1" applyFill="1" applyBorder="1" applyAlignment="1">
      <alignment horizontal="center" vertical="center" wrapText="1"/>
    </xf>
    <xf numFmtId="0" fontId="15" fillId="8" borderId="17" xfId="0" applyFont="1" applyFill="1" applyBorder="1" applyAlignment="1">
      <alignment horizontal="center" vertical="center" wrapText="1" readingOrder="1"/>
    </xf>
    <xf numFmtId="0" fontId="36" fillId="8" borderId="57" xfId="0" applyFont="1" applyFill="1" applyBorder="1" applyAlignment="1">
      <alignment vertical="center" wrapText="1"/>
    </xf>
    <xf numFmtId="0" fontId="36" fillId="8" borderId="17" xfId="2" applyFont="1" applyFill="1" applyBorder="1" applyAlignment="1">
      <alignment horizontal="left" vertical="center" wrapText="1"/>
    </xf>
    <xf numFmtId="17" fontId="5" fillId="8" borderId="17" xfId="0" quotePrefix="1" applyNumberFormat="1" applyFont="1" applyFill="1" applyBorder="1" applyAlignment="1">
      <alignment horizontal="center" vertical="center" wrapText="1"/>
    </xf>
    <xf numFmtId="0" fontId="0" fillId="8" borderId="17" xfId="0" applyFill="1" applyBorder="1" applyAlignment="1">
      <alignment horizontal="left" vertical="center" wrapText="1"/>
    </xf>
    <xf numFmtId="0" fontId="10" fillId="8" borderId="38" xfId="2" applyFont="1" applyFill="1" applyBorder="1" applyAlignment="1">
      <alignment horizontal="center" vertical="center" wrapText="1"/>
    </xf>
    <xf numFmtId="0" fontId="10" fillId="7" borderId="59" xfId="2" applyFont="1" applyFill="1" applyBorder="1" applyAlignment="1">
      <alignment horizontal="center" vertical="center" wrapText="1"/>
    </xf>
    <xf numFmtId="0" fontId="10" fillId="7" borderId="58" xfId="2" applyFont="1" applyFill="1" applyBorder="1" applyAlignment="1">
      <alignment horizontal="center" vertical="center" wrapText="1"/>
    </xf>
    <xf numFmtId="0" fontId="50" fillId="6" borderId="0" xfId="0" applyFont="1" applyFill="1"/>
    <xf numFmtId="0" fontId="0" fillId="0" borderId="13" xfId="0" applyBorder="1" applyAlignment="1">
      <alignment horizontal="center" vertical="center" wrapText="1"/>
    </xf>
    <xf numFmtId="0" fontId="51" fillId="6" borderId="13" xfId="0" applyFont="1" applyFill="1" applyBorder="1"/>
    <xf numFmtId="0" fontId="47" fillId="5" borderId="0" xfId="0" applyFont="1" applyFill="1"/>
    <xf numFmtId="10" fontId="11" fillId="0" borderId="0" xfId="0" applyNumberFormat="1" applyFont="1" applyAlignment="1">
      <alignment horizontal="right"/>
    </xf>
    <xf numFmtId="10" fontId="11" fillId="10" borderId="0" xfId="0" applyNumberFormat="1" applyFont="1" applyFill="1" applyAlignment="1">
      <alignment horizontal="center"/>
    </xf>
    <xf numFmtId="0" fontId="53" fillId="0" borderId="0" xfId="0" applyFont="1" applyAlignment="1">
      <alignment vertical="center" wrapText="1"/>
    </xf>
    <xf numFmtId="0" fontId="0" fillId="4" borderId="26" xfId="0" applyFill="1" applyBorder="1" applyAlignment="1">
      <alignment vertical="center" wrapText="1"/>
    </xf>
    <xf numFmtId="0" fontId="11" fillId="11" borderId="0" xfId="0" applyFont="1" applyFill="1"/>
    <xf numFmtId="0" fontId="11" fillId="3" borderId="0" xfId="0" applyFont="1" applyFill="1"/>
    <xf numFmtId="9" fontId="0" fillId="0" borderId="13" xfId="0" applyNumberForma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4" borderId="60" xfId="0" applyFill="1" applyBorder="1"/>
    <xf numFmtId="0" fontId="0" fillId="4" borderId="0" xfId="0" applyFill="1"/>
    <xf numFmtId="0" fontId="0" fillId="4" borderId="27" xfId="0" applyFill="1" applyBorder="1"/>
    <xf numFmtId="0" fontId="0" fillId="4" borderId="0" xfId="0" applyFill="1" applyAlignment="1">
      <alignment horizontal="left" vertical="center"/>
    </xf>
    <xf numFmtId="9" fontId="5" fillId="8" borderId="11" xfId="0" applyNumberFormat="1" applyFont="1" applyFill="1" applyBorder="1" applyAlignment="1">
      <alignment horizontal="center" vertical="center" wrapText="1"/>
    </xf>
    <xf numFmtId="0" fontId="0" fillId="8" borderId="23" xfId="0" applyFill="1" applyBorder="1" applyAlignment="1">
      <alignment horizontal="left" vertical="center" wrapText="1"/>
    </xf>
    <xf numFmtId="0" fontId="0" fillId="8" borderId="14" xfId="0" applyFill="1" applyBorder="1" applyAlignment="1">
      <alignment horizontal="left" vertical="center" wrapText="1"/>
    </xf>
    <xf numFmtId="9" fontId="36" fillId="8" borderId="17" xfId="2" applyNumberFormat="1" applyFont="1" applyFill="1" applyBorder="1" applyAlignment="1">
      <alignment horizontal="center" vertical="center" wrapText="1"/>
    </xf>
    <xf numFmtId="3" fontId="5" fillId="4" borderId="25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8" borderId="11" xfId="2" quotePrefix="1" applyFont="1" applyFill="1" applyBorder="1" applyAlignment="1">
      <alignment horizontal="center" vertical="center" wrapText="1"/>
    </xf>
    <xf numFmtId="9" fontId="36" fillId="8" borderId="22" xfId="2" applyNumberFormat="1" applyFont="1" applyFill="1" applyBorder="1" applyAlignment="1">
      <alignment horizontal="center" vertical="center" wrapText="1"/>
    </xf>
    <xf numFmtId="9" fontId="37" fillId="4" borderId="22" xfId="2" applyNumberFormat="1" applyFont="1" applyFill="1" applyBorder="1" applyAlignment="1">
      <alignment horizontal="center" vertical="center" wrapText="1"/>
    </xf>
    <xf numFmtId="0" fontId="37" fillId="4" borderId="26" xfId="2" applyFont="1" applyFill="1" applyBorder="1" applyAlignment="1">
      <alignment vertical="center" wrapText="1"/>
    </xf>
    <xf numFmtId="0" fontId="5" fillId="4" borderId="26" xfId="0" applyFont="1" applyFill="1" applyBorder="1" applyAlignment="1">
      <alignment horizontal="left" vertical="center"/>
    </xf>
    <xf numFmtId="0" fontId="37" fillId="4" borderId="13" xfId="2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17" fontId="5" fillId="4" borderId="26" xfId="0" applyNumberFormat="1" applyFont="1" applyFill="1" applyBorder="1" applyAlignment="1">
      <alignment horizontal="center" vertical="center" wrapText="1"/>
    </xf>
    <xf numFmtId="17" fontId="5" fillId="4" borderId="13" xfId="0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 vertical="center"/>
    </xf>
    <xf numFmtId="166" fontId="36" fillId="7" borderId="37" xfId="2" quotePrefix="1" applyNumberFormat="1" applyFont="1" applyFill="1" applyBorder="1" applyAlignment="1">
      <alignment horizontal="center" vertical="center" wrapText="1"/>
    </xf>
    <xf numFmtId="9" fontId="5" fillId="8" borderId="32" xfId="2" quotePrefix="1" applyNumberFormat="1" applyFont="1" applyFill="1" applyBorder="1" applyAlignment="1">
      <alignment horizontal="center" vertical="center" wrapText="1"/>
    </xf>
    <xf numFmtId="166" fontId="5" fillId="4" borderId="60" xfId="0" applyNumberFormat="1" applyFont="1" applyFill="1" applyBorder="1" applyAlignment="1">
      <alignment horizontal="center" vertical="center" wrapText="1"/>
    </xf>
    <xf numFmtId="166" fontId="5" fillId="4" borderId="0" xfId="0" applyNumberFormat="1" applyFont="1" applyFill="1" applyAlignment="1">
      <alignment horizontal="center" vertical="center" wrapText="1"/>
    </xf>
    <xf numFmtId="166" fontId="5" fillId="4" borderId="27" xfId="0" applyNumberFormat="1" applyFont="1" applyFill="1" applyBorder="1" applyAlignment="1">
      <alignment horizontal="center" vertical="center" wrapText="1"/>
    </xf>
    <xf numFmtId="0" fontId="5" fillId="4" borderId="25" xfId="2" applyFont="1" applyFill="1" applyBorder="1" applyAlignment="1">
      <alignment horizontal="center" vertical="center" wrapText="1"/>
    </xf>
    <xf numFmtId="9" fontId="5" fillId="4" borderId="32" xfId="0" applyNumberFormat="1" applyFont="1" applyFill="1" applyBorder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13" fillId="12" borderId="8" xfId="2" applyFont="1" applyFill="1" applyBorder="1" applyAlignment="1">
      <alignment horizontal="center" vertical="center" wrapText="1"/>
    </xf>
    <xf numFmtId="0" fontId="13" fillId="12" borderId="11" xfId="2" applyFont="1" applyFill="1" applyBorder="1" applyAlignment="1">
      <alignment horizontal="center" vertical="center" wrapText="1"/>
    </xf>
    <xf numFmtId="0" fontId="5" fillId="8" borderId="29" xfId="2" quotePrefix="1" applyFont="1" applyFill="1" applyBorder="1" applyAlignment="1">
      <alignment horizontal="center" vertical="center" wrapText="1"/>
    </xf>
    <xf numFmtId="0" fontId="5" fillId="8" borderId="61" xfId="2" quotePrefix="1" applyFont="1" applyFill="1" applyBorder="1" applyAlignment="1">
      <alignment horizontal="center" vertical="center" wrapText="1"/>
    </xf>
    <xf numFmtId="0" fontId="0" fillId="8" borderId="26" xfId="0" applyFill="1" applyBorder="1" applyAlignment="1">
      <alignment vertical="center" wrapText="1"/>
    </xf>
    <xf numFmtId="0" fontId="0" fillId="8" borderId="16" xfId="0" applyFill="1" applyBorder="1" applyAlignment="1">
      <alignment vertical="center" wrapText="1"/>
    </xf>
    <xf numFmtId="0" fontId="0" fillId="8" borderId="22" xfId="0" applyFill="1" applyBorder="1" applyAlignment="1">
      <alignment horizontal="left" vertical="center" wrapText="1"/>
    </xf>
    <xf numFmtId="166" fontId="36" fillId="7" borderId="61" xfId="2" applyNumberFormat="1" applyFont="1" applyFill="1" applyBorder="1" applyAlignment="1">
      <alignment horizontal="center" vertical="center" wrapText="1"/>
    </xf>
    <xf numFmtId="9" fontId="37" fillId="7" borderId="29" xfId="2" applyNumberFormat="1" applyFont="1" applyFill="1" applyBorder="1" applyAlignment="1">
      <alignment horizontal="center" vertical="center"/>
    </xf>
    <xf numFmtId="9" fontId="37" fillId="7" borderId="63" xfId="2" applyNumberFormat="1" applyFont="1" applyFill="1" applyBorder="1" applyAlignment="1">
      <alignment horizontal="center" vertical="center" wrapText="1"/>
    </xf>
    <xf numFmtId="0" fontId="38" fillId="7" borderId="14" xfId="0" applyFont="1" applyFill="1" applyBorder="1" applyAlignment="1">
      <alignment horizontal="left" vertical="center" wrapText="1"/>
    </xf>
    <xf numFmtId="0" fontId="36" fillId="7" borderId="23" xfId="0" applyFont="1" applyFill="1" applyBorder="1" applyAlignment="1">
      <alignment horizontal="left" vertical="center"/>
    </xf>
    <xf numFmtId="10" fontId="5" fillId="4" borderId="0" xfId="0" applyNumberFormat="1" applyFont="1" applyFill="1" applyAlignment="1">
      <alignment horizontal="center" vertical="center" wrapText="1"/>
    </xf>
    <xf numFmtId="166" fontId="36" fillId="7" borderId="16" xfId="2" applyNumberFormat="1" applyFont="1" applyFill="1" applyBorder="1" applyAlignment="1">
      <alignment horizontal="center" vertical="center" wrapText="1"/>
    </xf>
    <xf numFmtId="0" fontId="5" fillId="8" borderId="56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9" fontId="5" fillId="8" borderId="17" xfId="0" quotePrefix="1" applyNumberFormat="1" applyFont="1" applyFill="1" applyBorder="1" applyAlignment="1">
      <alignment horizontal="center" vertical="center" wrapText="1"/>
    </xf>
    <xf numFmtId="0" fontId="10" fillId="4" borderId="36" xfId="2" applyFont="1" applyFill="1" applyBorder="1" applyAlignment="1">
      <alignment horizontal="center" vertical="center" wrapText="1"/>
    </xf>
    <xf numFmtId="0" fontId="10" fillId="4" borderId="12" xfId="2" applyFont="1" applyFill="1" applyBorder="1" applyAlignment="1">
      <alignment horizontal="center" vertical="center" wrapText="1"/>
    </xf>
    <xf numFmtId="0" fontId="10" fillId="4" borderId="35" xfId="2" applyFont="1" applyFill="1" applyBorder="1" applyAlignment="1">
      <alignment horizontal="center" vertical="center" wrapText="1"/>
    </xf>
    <xf numFmtId="0" fontId="37" fillId="8" borderId="14" xfId="2" applyFont="1" applyFill="1" applyBorder="1" applyAlignment="1">
      <alignment horizontal="left" vertical="center" wrapText="1"/>
    </xf>
    <xf numFmtId="0" fontId="37" fillId="8" borderId="11" xfId="2" applyFont="1" applyFill="1" applyBorder="1" applyAlignment="1">
      <alignment horizontal="left" vertical="center" wrapText="1"/>
    </xf>
    <xf numFmtId="0" fontId="37" fillId="8" borderId="16" xfId="2" applyFont="1" applyFill="1" applyBorder="1" applyAlignment="1">
      <alignment horizontal="left" vertical="center" wrapText="1"/>
    </xf>
    <xf numFmtId="0" fontId="36" fillId="8" borderId="14" xfId="2" applyFont="1" applyFill="1" applyBorder="1" applyAlignment="1">
      <alignment horizontal="left" vertical="center" wrapText="1"/>
    </xf>
    <xf numFmtId="0" fontId="36" fillId="8" borderId="11" xfId="2" applyFont="1" applyFill="1" applyBorder="1" applyAlignment="1">
      <alignment horizontal="left" vertical="center" wrapText="1"/>
    </xf>
    <xf numFmtId="0" fontId="36" fillId="8" borderId="16" xfId="2" applyFont="1" applyFill="1" applyBorder="1" applyAlignment="1">
      <alignment horizontal="left" vertical="center" wrapText="1"/>
    </xf>
    <xf numFmtId="0" fontId="38" fillId="8" borderId="14" xfId="0" applyFont="1" applyFill="1" applyBorder="1" applyAlignment="1">
      <alignment horizontal="left" vertical="center" wrapText="1"/>
    </xf>
    <xf numFmtId="0" fontId="38" fillId="8" borderId="11" xfId="0" applyFont="1" applyFill="1" applyBorder="1" applyAlignment="1">
      <alignment horizontal="left" vertical="center" wrapText="1"/>
    </xf>
    <xf numFmtId="0" fontId="38" fillId="8" borderId="16" xfId="0" applyFont="1" applyFill="1" applyBorder="1" applyAlignment="1">
      <alignment horizontal="left" vertical="center" wrapText="1"/>
    </xf>
    <xf numFmtId="0" fontId="5" fillId="8" borderId="14" xfId="2" quotePrefix="1" applyFont="1" applyFill="1" applyBorder="1" applyAlignment="1">
      <alignment horizontal="center" vertical="center" wrapText="1"/>
    </xf>
    <xf numFmtId="0" fontId="5" fillId="8" borderId="11" xfId="2" quotePrefix="1" applyFont="1" applyFill="1" applyBorder="1" applyAlignment="1">
      <alignment horizontal="center" vertical="center" wrapText="1"/>
    </xf>
    <xf numFmtId="0" fontId="5" fillId="8" borderId="16" xfId="2" quotePrefix="1" applyFont="1" applyFill="1" applyBorder="1" applyAlignment="1">
      <alignment horizontal="center" vertical="center" wrapText="1"/>
    </xf>
    <xf numFmtId="0" fontId="37" fillId="4" borderId="25" xfId="2" applyFont="1" applyFill="1" applyBorder="1" applyAlignment="1">
      <alignment horizontal="left" vertical="center" wrapText="1"/>
    </xf>
    <xf numFmtId="0" fontId="37" fillId="4" borderId="11" xfId="2" applyFont="1" applyFill="1" applyBorder="1" applyAlignment="1">
      <alignment horizontal="left" vertical="center" wrapText="1"/>
    </xf>
    <xf numFmtId="0" fontId="37" fillId="4" borderId="16" xfId="2" applyFont="1" applyFill="1" applyBorder="1" applyAlignment="1">
      <alignment horizontal="left" vertical="center" wrapText="1"/>
    </xf>
    <xf numFmtId="166" fontId="5" fillId="4" borderId="25" xfId="0" applyNumberFormat="1" applyFont="1" applyFill="1" applyBorder="1" applyAlignment="1">
      <alignment horizontal="center" vertical="center" wrapText="1"/>
    </xf>
    <xf numFmtId="166" fontId="5" fillId="4" borderId="11" xfId="0" applyNumberFormat="1" applyFont="1" applyFill="1" applyBorder="1" applyAlignment="1">
      <alignment horizontal="center" vertical="center" wrapText="1"/>
    </xf>
    <xf numFmtId="166" fontId="5" fillId="4" borderId="16" xfId="0" applyNumberFormat="1" applyFont="1" applyFill="1" applyBorder="1" applyAlignment="1">
      <alignment horizontal="center" vertical="center" wrapText="1"/>
    </xf>
    <xf numFmtId="0" fontId="38" fillId="8" borderId="13" xfId="0" applyFont="1" applyFill="1" applyBorder="1" applyAlignment="1">
      <alignment horizontal="left" vertical="center" wrapText="1"/>
    </xf>
    <xf numFmtId="166" fontId="39" fillId="4" borderId="14" xfId="2" applyNumberFormat="1" applyFont="1" applyFill="1" applyBorder="1" applyAlignment="1">
      <alignment horizontal="center" vertical="center" wrapText="1"/>
    </xf>
    <xf numFmtId="166" fontId="39" fillId="4" borderId="16" xfId="2" applyNumberFormat="1" applyFont="1" applyFill="1" applyBorder="1" applyAlignment="1">
      <alignment horizontal="center" vertical="center" wrapText="1"/>
    </xf>
    <xf numFmtId="9" fontId="37" fillId="4" borderId="25" xfId="2" applyNumberFormat="1" applyFont="1" applyFill="1" applyBorder="1" applyAlignment="1">
      <alignment horizontal="center" vertical="center" wrapText="1"/>
    </xf>
    <xf numFmtId="0" fontId="37" fillId="4" borderId="11" xfId="2" applyFont="1" applyFill="1" applyBorder="1" applyAlignment="1">
      <alignment horizontal="center" vertical="center" wrapText="1"/>
    </xf>
    <xf numFmtId="0" fontId="37" fillId="4" borderId="22" xfId="2" applyFont="1" applyFill="1" applyBorder="1" applyAlignment="1">
      <alignment horizontal="center" vertical="center" wrapText="1"/>
    </xf>
    <xf numFmtId="9" fontId="37" fillId="8" borderId="25" xfId="2" applyNumberFormat="1" applyFont="1" applyFill="1" applyBorder="1" applyAlignment="1">
      <alignment horizontal="center" vertical="center" wrapText="1"/>
    </xf>
    <xf numFmtId="0" fontId="37" fillId="8" borderId="11" xfId="2" applyFont="1" applyFill="1" applyBorder="1" applyAlignment="1">
      <alignment horizontal="center" vertical="center" wrapText="1"/>
    </xf>
    <xf numFmtId="0" fontId="37" fillId="8" borderId="22" xfId="2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13" xfId="0" applyFont="1" applyFill="1" applyBorder="1" applyAlignment="1">
      <alignment horizontal="center" vertical="center" wrapText="1" readingOrder="1"/>
    </xf>
    <xf numFmtId="0" fontId="15" fillId="8" borderId="23" xfId="0" applyFont="1" applyFill="1" applyBorder="1" applyAlignment="1">
      <alignment horizontal="center" vertical="center" wrapText="1" readingOrder="1"/>
    </xf>
    <xf numFmtId="0" fontId="15" fillId="4" borderId="25" xfId="0" applyFont="1" applyFill="1" applyBorder="1" applyAlignment="1">
      <alignment horizontal="center" vertical="center" wrapText="1" readingOrder="1"/>
    </xf>
    <xf numFmtId="0" fontId="15" fillId="4" borderId="11" xfId="0" applyFont="1" applyFill="1" applyBorder="1" applyAlignment="1">
      <alignment horizontal="center" vertical="center" wrapText="1" readingOrder="1"/>
    </xf>
    <xf numFmtId="0" fontId="15" fillId="4" borderId="22" xfId="0" applyFont="1" applyFill="1" applyBorder="1" applyAlignment="1">
      <alignment horizontal="center" vertical="center" wrapText="1" readingOrder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2" xfId="2" applyFont="1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center" vertical="center" wrapText="1" readingOrder="1"/>
    </xf>
    <xf numFmtId="0" fontId="15" fillId="8" borderId="11" xfId="0" applyFont="1" applyFill="1" applyBorder="1" applyAlignment="1">
      <alignment horizontal="center" vertical="center" wrapText="1" readingOrder="1"/>
    </xf>
    <xf numFmtId="0" fontId="15" fillId="8" borderId="22" xfId="0" applyFont="1" applyFill="1" applyBorder="1" applyAlignment="1">
      <alignment horizontal="center" vertical="center" wrapText="1" readingOrder="1"/>
    </xf>
    <xf numFmtId="0" fontId="10" fillId="8" borderId="36" xfId="2" applyFont="1" applyFill="1" applyBorder="1" applyAlignment="1">
      <alignment horizontal="center" vertical="center" wrapText="1"/>
    </xf>
    <xf numFmtId="0" fontId="10" fillId="8" borderId="12" xfId="2" applyFont="1" applyFill="1" applyBorder="1" applyAlignment="1">
      <alignment horizontal="center" vertical="center" wrapText="1"/>
    </xf>
    <xf numFmtId="0" fontId="10" fillId="8" borderId="35" xfId="2" applyFont="1" applyFill="1" applyBorder="1" applyAlignment="1">
      <alignment horizontal="center" vertical="center" wrapText="1"/>
    </xf>
    <xf numFmtId="0" fontId="36" fillId="8" borderId="25" xfId="0" applyFont="1" applyFill="1" applyBorder="1" applyAlignment="1">
      <alignment horizontal="left" vertical="center" wrapText="1"/>
    </xf>
    <xf numFmtId="0" fontId="36" fillId="8" borderId="16" xfId="0" applyFont="1" applyFill="1" applyBorder="1" applyAlignment="1">
      <alignment horizontal="left" vertical="center" wrapText="1"/>
    </xf>
    <xf numFmtId="9" fontId="5" fillId="8" borderId="14" xfId="0" applyNumberFormat="1" applyFont="1" applyFill="1" applyBorder="1" applyAlignment="1">
      <alignment horizontal="center" vertical="center" wrapText="1"/>
    </xf>
    <xf numFmtId="9" fontId="5" fillId="8" borderId="16" xfId="0" applyNumberFormat="1" applyFont="1" applyFill="1" applyBorder="1" applyAlignment="1">
      <alignment horizontal="center" vertical="center" wrapText="1"/>
    </xf>
    <xf numFmtId="0" fontId="37" fillId="8" borderId="25" xfId="2" applyFont="1" applyFill="1" applyBorder="1" applyAlignment="1">
      <alignment horizontal="left" vertical="center" wrapText="1"/>
    </xf>
    <xf numFmtId="0" fontId="36" fillId="4" borderId="14" xfId="2" applyFont="1" applyFill="1" applyBorder="1" applyAlignment="1">
      <alignment horizontal="left" vertical="center" wrapText="1"/>
    </xf>
    <xf numFmtId="0" fontId="36" fillId="4" borderId="11" xfId="2" applyFont="1" applyFill="1" applyBorder="1" applyAlignment="1">
      <alignment horizontal="left" vertical="center" wrapText="1"/>
    </xf>
    <xf numFmtId="0" fontId="36" fillId="4" borderId="22" xfId="2" applyFont="1" applyFill="1" applyBorder="1" applyAlignment="1">
      <alignment horizontal="left" vertical="center" wrapText="1"/>
    </xf>
    <xf numFmtId="9" fontId="36" fillId="8" borderId="25" xfId="2" applyNumberFormat="1" applyFont="1" applyFill="1" applyBorder="1" applyAlignment="1">
      <alignment horizontal="center" vertical="center" wrapText="1"/>
    </xf>
    <xf numFmtId="0" fontId="36" fillId="8" borderId="11" xfId="2" applyFont="1" applyFill="1" applyBorder="1" applyAlignment="1">
      <alignment horizontal="center" vertical="center" wrapText="1"/>
    </xf>
    <xf numFmtId="0" fontId="36" fillId="8" borderId="22" xfId="2" applyFont="1" applyFill="1" applyBorder="1" applyAlignment="1">
      <alignment horizontal="center" vertical="center" wrapText="1"/>
    </xf>
    <xf numFmtId="0" fontId="37" fillId="4" borderId="14" xfId="2" applyFont="1" applyFill="1" applyBorder="1" applyAlignment="1">
      <alignment horizontal="left" vertical="center" wrapText="1"/>
    </xf>
    <xf numFmtId="0" fontId="37" fillId="4" borderId="22" xfId="2" applyFont="1" applyFill="1" applyBorder="1" applyAlignment="1">
      <alignment horizontal="left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22" xfId="1" applyFont="1" applyFill="1" applyBorder="1" applyAlignment="1">
      <alignment horizontal="center" vertical="center" wrapText="1"/>
    </xf>
    <xf numFmtId="3" fontId="5" fillId="4" borderId="25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166" fontId="5" fillId="4" borderId="14" xfId="0" applyNumberFormat="1" applyFont="1" applyFill="1" applyBorder="1" applyAlignment="1">
      <alignment horizontal="center" vertical="center" wrapText="1"/>
    </xf>
    <xf numFmtId="0" fontId="39" fillId="4" borderId="14" xfId="2" applyFont="1" applyFill="1" applyBorder="1" applyAlignment="1">
      <alignment vertical="center" wrapText="1"/>
    </xf>
    <xf numFmtId="0" fontId="39" fillId="4" borderId="11" xfId="2" applyFont="1" applyFill="1" applyBorder="1" applyAlignment="1">
      <alignment vertical="center" wrapText="1"/>
    </xf>
    <xf numFmtId="0" fontId="39" fillId="4" borderId="16" xfId="2" applyFont="1" applyFill="1" applyBorder="1" applyAlignment="1">
      <alignment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5" fillId="4" borderId="16" xfId="1" applyFont="1" applyFill="1" applyBorder="1" applyAlignment="1">
      <alignment horizontal="center" vertical="center" wrapText="1"/>
    </xf>
    <xf numFmtId="0" fontId="37" fillId="4" borderId="16" xfId="2" applyFont="1" applyFill="1" applyBorder="1" applyAlignment="1">
      <alignment horizontal="center" vertical="center" wrapText="1"/>
    </xf>
    <xf numFmtId="166" fontId="39" fillId="4" borderId="11" xfId="2" applyNumberFormat="1" applyFont="1" applyFill="1" applyBorder="1" applyAlignment="1">
      <alignment horizontal="center" vertical="center" wrapText="1"/>
    </xf>
    <xf numFmtId="0" fontId="14" fillId="4" borderId="24" xfId="2" applyFont="1" applyFill="1" applyBorder="1" applyAlignment="1">
      <alignment horizontal="center" vertical="center" wrapText="1"/>
    </xf>
    <xf numFmtId="0" fontId="14" fillId="4" borderId="10" xfId="2" applyFont="1" applyFill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/>
    </xf>
    <xf numFmtId="0" fontId="13" fillId="2" borderId="39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0" fontId="13" fillId="2" borderId="16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3" fillId="3" borderId="12" xfId="2" applyFont="1" applyFill="1" applyBorder="1" applyAlignment="1">
      <alignment horizontal="center" vertical="center" wrapText="1"/>
    </xf>
    <xf numFmtId="0" fontId="13" fillId="2" borderId="20" xfId="2" applyFont="1" applyFill="1" applyBorder="1" applyAlignment="1">
      <alignment horizontal="center" vertical="center" wrapText="1"/>
    </xf>
    <xf numFmtId="0" fontId="13" fillId="2" borderId="28" xfId="2" applyFont="1" applyFill="1" applyBorder="1" applyAlignment="1">
      <alignment horizontal="center" vertical="center" wrapText="1"/>
    </xf>
    <xf numFmtId="0" fontId="13" fillId="2" borderId="29" xfId="2" applyFont="1" applyFill="1" applyBorder="1" applyAlignment="1">
      <alignment horizontal="center" vertical="center" wrapText="1"/>
    </xf>
    <xf numFmtId="0" fontId="13" fillId="2" borderId="27" xfId="2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3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7" borderId="12" xfId="2" applyFont="1" applyFill="1" applyBorder="1" applyAlignment="1">
      <alignment horizontal="center" vertical="center" wrapText="1"/>
    </xf>
    <xf numFmtId="0" fontId="10" fillId="7" borderId="35" xfId="2" applyFont="1" applyFill="1" applyBorder="1" applyAlignment="1">
      <alignment horizontal="center" vertical="center" wrapText="1"/>
    </xf>
    <xf numFmtId="0" fontId="37" fillId="7" borderId="14" xfId="2" applyFont="1" applyFill="1" applyBorder="1" applyAlignment="1">
      <alignment horizontal="left" vertical="center" wrapText="1"/>
    </xf>
    <xf numFmtId="0" fontId="37" fillId="7" borderId="11" xfId="2" applyFont="1" applyFill="1" applyBorder="1" applyAlignment="1">
      <alignment horizontal="left" vertical="center" wrapText="1"/>
    </xf>
    <xf numFmtId="166" fontId="36" fillId="7" borderId="14" xfId="2" applyNumberFormat="1" applyFont="1" applyFill="1" applyBorder="1" applyAlignment="1">
      <alignment horizontal="center" vertical="center" wrapText="1"/>
    </xf>
    <xf numFmtId="166" fontId="36" fillId="7" borderId="11" xfId="2" applyNumberFormat="1" applyFont="1" applyFill="1" applyBorder="1" applyAlignment="1">
      <alignment horizontal="center" vertical="center" wrapText="1"/>
    </xf>
    <xf numFmtId="0" fontId="14" fillId="8" borderId="24" xfId="2" applyFont="1" applyFill="1" applyBorder="1" applyAlignment="1">
      <alignment horizontal="center" vertical="center" wrapText="1"/>
    </xf>
    <xf numFmtId="0" fontId="14" fillId="8" borderId="10" xfId="2" applyFont="1" applyFill="1" applyBorder="1" applyAlignment="1">
      <alignment horizontal="center" vertical="center" wrapText="1"/>
    </xf>
    <xf numFmtId="0" fontId="14" fillId="8" borderId="18" xfId="2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left" vertical="center" wrapText="1"/>
    </xf>
    <xf numFmtId="0" fontId="36" fillId="7" borderId="11" xfId="0" applyFont="1" applyFill="1" applyBorder="1" applyAlignment="1">
      <alignment horizontal="left" vertical="center" wrapText="1"/>
    </xf>
    <xf numFmtId="0" fontId="14" fillId="7" borderId="40" xfId="2" applyFont="1" applyFill="1" applyBorder="1" applyAlignment="1">
      <alignment horizontal="center" vertical="center"/>
    </xf>
    <xf numFmtId="0" fontId="14" fillId="7" borderId="10" xfId="2" applyFont="1" applyFill="1" applyBorder="1" applyAlignment="1">
      <alignment horizontal="center" vertical="center"/>
    </xf>
    <xf numFmtId="0" fontId="14" fillId="7" borderId="21" xfId="2" applyFont="1" applyFill="1" applyBorder="1" applyAlignment="1">
      <alignment horizontal="center" vertical="center"/>
    </xf>
    <xf numFmtId="0" fontId="36" fillId="7" borderId="13" xfId="0" applyFont="1" applyFill="1" applyBorder="1" applyAlignment="1">
      <alignment horizontal="left" vertical="center" wrapText="1"/>
    </xf>
    <xf numFmtId="0" fontId="15" fillId="7" borderId="13" xfId="0" applyFont="1" applyFill="1" applyBorder="1" applyAlignment="1">
      <alignment horizontal="center" vertical="center" wrapText="1" readingOrder="1"/>
    </xf>
    <xf numFmtId="0" fontId="15" fillId="7" borderId="14" xfId="0" applyFont="1" applyFill="1" applyBorder="1" applyAlignment="1">
      <alignment horizontal="center" vertical="center" wrapText="1" readingOrder="1"/>
    </xf>
    <xf numFmtId="0" fontId="15" fillId="7" borderId="11" xfId="0" applyFont="1" applyFill="1" applyBorder="1" applyAlignment="1">
      <alignment horizontal="center" vertical="center" wrapText="1" readingOrder="1"/>
    </xf>
    <xf numFmtId="0" fontId="14" fillId="8" borderId="33" xfId="2" applyFont="1" applyFill="1" applyBorder="1" applyAlignment="1">
      <alignment horizontal="center" vertical="center"/>
    </xf>
    <xf numFmtId="0" fontId="14" fillId="8" borderId="15" xfId="2" applyFont="1" applyFill="1" applyBorder="1" applyAlignment="1">
      <alignment horizontal="center" vertical="center"/>
    </xf>
    <xf numFmtId="0" fontId="14" fillId="8" borderId="34" xfId="2" applyFont="1" applyFill="1" applyBorder="1" applyAlignment="1">
      <alignment horizontal="center" vertical="center"/>
    </xf>
    <xf numFmtId="0" fontId="38" fillId="4" borderId="25" xfId="0" applyFont="1" applyFill="1" applyBorder="1" applyAlignment="1">
      <alignment horizontal="left" vertical="center" wrapText="1"/>
    </xf>
    <xf numFmtId="0" fontId="38" fillId="4" borderId="11" xfId="0" applyFont="1" applyFill="1" applyBorder="1" applyAlignment="1">
      <alignment horizontal="left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9" fontId="37" fillId="7" borderId="14" xfId="2" applyNumberFormat="1" applyFont="1" applyFill="1" applyBorder="1" applyAlignment="1">
      <alignment horizontal="center" vertical="center" wrapText="1"/>
    </xf>
    <xf numFmtId="0" fontId="37" fillId="7" borderId="11" xfId="2" applyFont="1" applyFill="1" applyBorder="1" applyAlignment="1">
      <alignment horizontal="center" vertical="center" wrapText="1"/>
    </xf>
    <xf numFmtId="0" fontId="37" fillId="7" borderId="16" xfId="2" applyFont="1" applyFill="1" applyBorder="1" applyAlignment="1">
      <alignment horizontal="center" vertical="center" wrapText="1"/>
    </xf>
    <xf numFmtId="9" fontId="36" fillId="7" borderId="14" xfId="2" applyNumberFormat="1" applyFont="1" applyFill="1" applyBorder="1" applyAlignment="1">
      <alignment horizontal="center" vertical="center" wrapText="1"/>
    </xf>
    <xf numFmtId="0" fontId="36" fillId="7" borderId="16" xfId="2" applyFont="1" applyFill="1" applyBorder="1" applyAlignment="1">
      <alignment horizontal="center" vertical="center" wrapText="1"/>
    </xf>
    <xf numFmtId="9" fontId="36" fillId="8" borderId="14" xfId="2" applyNumberFormat="1" applyFont="1" applyFill="1" applyBorder="1" applyAlignment="1">
      <alignment horizontal="center" vertical="center" wrapText="1"/>
    </xf>
    <xf numFmtId="0" fontId="36" fillId="8" borderId="16" xfId="2" applyFont="1" applyFill="1" applyBorder="1" applyAlignment="1">
      <alignment horizontal="center" vertical="center" wrapText="1"/>
    </xf>
    <xf numFmtId="9" fontId="5" fillId="4" borderId="61" xfId="1" applyFont="1" applyFill="1" applyBorder="1" applyAlignment="1">
      <alignment horizontal="center" vertical="center" wrapText="1"/>
    </xf>
    <xf numFmtId="9" fontId="5" fillId="4" borderId="62" xfId="1" applyFont="1" applyFill="1" applyBorder="1" applyAlignment="1">
      <alignment horizontal="center" vertical="center" wrapText="1"/>
    </xf>
    <xf numFmtId="9" fontId="5" fillId="4" borderId="29" xfId="1" applyFont="1" applyFill="1" applyBorder="1" applyAlignment="1">
      <alignment horizontal="center" vertical="center" wrapText="1"/>
    </xf>
  </cellXfs>
  <cellStyles count="9">
    <cellStyle name="Comma" xfId="7" builtinId="3"/>
    <cellStyle name="Comma [0]" xfId="3" builtinId="6"/>
    <cellStyle name="Comma [0] 4" xfId="8" xr:uid="{00000000-0005-0000-0000-000002000000}"/>
    <cellStyle name="Excel Built-in Normal" xfId="2" xr:uid="{00000000-0005-0000-0000-000003000000}"/>
    <cellStyle name="Normal" xfId="0" builtinId="0"/>
    <cellStyle name="Normal 2" xfId="5" xr:uid="{00000000-0005-0000-0000-000005000000}"/>
    <cellStyle name="Normal 4" xfId="4" xr:uid="{00000000-0005-0000-0000-000006000000}"/>
    <cellStyle name="Normal 5" xfId="6" xr:uid="{00000000-0005-0000-0000-000007000000}"/>
    <cellStyle name="Percent" xfId="1" builtinId="5"/>
  </cellStyles>
  <dxfs count="0"/>
  <tableStyles count="0" defaultTableStyle="TableStyleMedium2" defaultPivotStyle="PivotStyleLight16"/>
  <colors>
    <mruColors>
      <color rgb="FF66FF99"/>
      <color rgb="FFCC99FF"/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styles" Target="styles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117929</xdr:colOff>
      <xdr:row>0</xdr:row>
      <xdr:rowOff>99786</xdr:rowOff>
    </xdr:from>
    <xdr:to>
      <xdr:col>8</xdr:col>
      <xdr:colOff>1168501</xdr:colOff>
      <xdr:row>1</xdr:row>
      <xdr:rowOff>346909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F9E72686-3F4B-47CC-AF13-6DD447AEE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9143" y="99786"/>
          <a:ext cx="1050572" cy="82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576439</xdr:colOff>
      <xdr:row>7</xdr:row>
      <xdr:rowOff>105128</xdr:rowOff>
    </xdr:from>
    <xdr:to>
      <xdr:col>3</xdr:col>
      <xdr:colOff>4677833</xdr:colOff>
      <xdr:row>14</xdr:row>
      <xdr:rowOff>176389</xdr:rowOff>
    </xdr:to>
    <xdr:pic>
      <xdr:nvPicPr>
        <xdr:cNvPr id="3" name="Picture 2" descr="oee-table">
          <a:extLst>
            <a:ext uri="{FF2B5EF4-FFF2-40B4-BE49-F238E27FC236}">
              <a16:creationId xmlns:a16="http://schemas.microsoft.com/office/drawing/2014/main" id="{C030ED56-0A4B-62E3-2C88-BBEF3153D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1217" y="3809295"/>
          <a:ext cx="5180894" cy="3380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Update%20Proyeksi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4.%20BUDGET%20HCGA%202023_v3.2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Corsec-Budget%20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Budget%20IT%202023-Draft-rev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Depresiasi%20202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2.%20Material%20Cost_Budget%2020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3.%20Budget%20MO%20(all)%20-%20202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Lembu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Saving%20Woodline%20202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4.%20Import%20Expense%202023%20(Rev%201%20-%2010%20Okt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Asurans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TI\Budget\2023%20V4\2023%20V4\1.%20%20Budget%20Sales%20Lokal%202023%20V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04_RD%20usulan%20budget%20RD%202023_kirim%2012okt202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Final%20Dept\2.%20Expense%202023%20(Rev%202%20-%2011%20Okt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TI\Budget\2021%20V4\2021%20V4\1.%20%20Budget%20Sales%20Lokal%202021%20V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TI\Budget\2021%20V4\2021%20V4\2.%20%20Budget%20Sales%20Export%20&amp;%20Garment%202021%20V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1.%20Qty&amp;Value%202023%20(Rev%202%20-%203%20okt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FS\CINT%20Only\8.%20CINT_LK%20Parent_Agust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Budget%202023-staf%20keatasshar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BUDGET%20PAYROLL-2023_v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INT\2022\Budget%202023\BUDGET%20BENEFIT-2023%20(NEW)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CF"/>
      <sheetName val="BS-Konsol"/>
      <sheetName val="BS-Single"/>
    </sheetNames>
    <sheetDataSet>
      <sheetData sheetId="0">
        <row r="18">
          <cell r="K18">
            <v>290084.51755744859</v>
          </cell>
        </row>
        <row r="20">
          <cell r="K20">
            <v>240045.00653924199</v>
          </cell>
        </row>
        <row r="24">
          <cell r="K24">
            <v>17292.71610411525</v>
          </cell>
        </row>
        <row r="25">
          <cell r="K25">
            <v>28633.33147407728</v>
          </cell>
        </row>
        <row r="31">
          <cell r="K31">
            <v>39.499361344302969</v>
          </cell>
        </row>
        <row r="32">
          <cell r="K32">
            <v>-4759.69037398</v>
          </cell>
        </row>
        <row r="33">
          <cell r="K33">
            <v>299.32313395465553</v>
          </cell>
        </row>
        <row r="34">
          <cell r="K34">
            <v>2075.6446161639456</v>
          </cell>
        </row>
      </sheetData>
      <sheetData sheetId="1" refreshError="1"/>
      <sheetData sheetId="2">
        <row r="33">
          <cell r="Q33">
            <v>8096.9170154268268</v>
          </cell>
        </row>
      </sheetData>
      <sheetData sheetId="3">
        <row r="33">
          <cell r="E33">
            <v>18672.545830882998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 EXPENSE"/>
      <sheetName val="Budget Upah per cost center"/>
      <sheetName val="Budget Benefit per cost center"/>
      <sheetName val="CSR"/>
      <sheetName val="HRD"/>
      <sheetName val="TNA"/>
      <sheetName val="Sumbangan"/>
      <sheetName val="Masa Kerja"/>
      <sheetName val="Event"/>
      <sheetName val="BUILDING MAINTENANCE"/>
      <sheetName val="VEHICLE MAINTENANCE"/>
      <sheetName val="OFFICE EQUIPMENT MAINT"/>
      <sheetName val="ENTERTAIN&amp;REPRESE"/>
      <sheetName val="LEGAL"/>
      <sheetName val="MEETING &amp; MEMBERS"/>
      <sheetName val="MEETING&amp;MEMBERS_1"/>
      <sheetName val="GENERAL SUPPLIES"/>
      <sheetName val="GS_KEAMANAN"/>
      <sheetName val="GS_LIST KEBERSIHAN"/>
      <sheetName val="GS_REKAP ALAT KEBERSIHAN"/>
      <sheetName val="GS_KEBON JERUK"/>
      <sheetName val="GS_PAV 14"/>
      <sheetName val="GS_DIREKSI"/>
      <sheetName val="OFFICE SUPPLIES"/>
      <sheetName val="OS_FOTOKOPI"/>
      <sheetName val="COMMUNICATION"/>
      <sheetName val="TRAVELING &amp; ACCOM"/>
      <sheetName val="TRANSPORTATION"/>
      <sheetName val="TRANS_LANGSIR"/>
      <sheetName val="TRANS_BBM TOL"/>
      <sheetName val="WATER &amp; ELECTRICITY"/>
      <sheetName val="TAX"/>
      <sheetName val="VEHICLE INSURANCE"/>
      <sheetName val="K3"/>
      <sheetName val="G&amp;A EXPENSE RENT"/>
      <sheetName val="G&amp;A EXPENSE MANAGEMENT CONSUL"/>
      <sheetName val="COGM LIMBAH"/>
      <sheetName val="COGM_BUILDING MAINT"/>
      <sheetName val="G&amp;A EXPENSE MATERAI"/>
      <sheetName val="G&amp;A CAPEX"/>
      <sheetName val="OS_ATK"/>
      <sheetName val="GS_UMUM RT"/>
      <sheetName val="COGM_Freight"/>
    </sheetNames>
    <sheetDataSet>
      <sheetData sheetId="0">
        <row r="15">
          <cell r="D15">
            <v>1548</v>
          </cell>
          <cell r="E15">
            <v>500</v>
          </cell>
          <cell r="F15">
            <v>8000</v>
          </cell>
          <cell r="G15">
            <v>1548</v>
          </cell>
          <cell r="H15">
            <v>46312.410983783797</v>
          </cell>
          <cell r="I15">
            <v>2500</v>
          </cell>
          <cell r="J15">
            <v>30103.715</v>
          </cell>
          <cell r="K15">
            <v>12000</v>
          </cell>
          <cell r="L15">
            <v>1548</v>
          </cell>
          <cell r="M15">
            <v>5500</v>
          </cell>
          <cell r="N15">
            <v>3000</v>
          </cell>
          <cell r="O15">
            <v>9548</v>
          </cell>
        </row>
        <row r="16">
          <cell r="D16">
            <v>22400</v>
          </cell>
          <cell r="E16">
            <v>10550</v>
          </cell>
          <cell r="F16">
            <v>8050</v>
          </cell>
          <cell r="G16">
            <v>10390</v>
          </cell>
          <cell r="H16">
            <v>5950</v>
          </cell>
          <cell r="I16">
            <v>10180</v>
          </cell>
          <cell r="J16">
            <v>6673</v>
          </cell>
          <cell r="K16">
            <v>2300</v>
          </cell>
          <cell r="L16">
            <v>4248</v>
          </cell>
          <cell r="M16">
            <v>25030</v>
          </cell>
          <cell r="N16">
            <v>7850</v>
          </cell>
          <cell r="O16">
            <v>9050</v>
          </cell>
        </row>
        <row r="17">
          <cell r="D17">
            <v>4844</v>
          </cell>
          <cell r="E17">
            <v>7144</v>
          </cell>
          <cell r="F17">
            <v>3644</v>
          </cell>
          <cell r="G17">
            <v>6894</v>
          </cell>
          <cell r="H17">
            <v>4644</v>
          </cell>
          <cell r="I17">
            <v>3644</v>
          </cell>
          <cell r="J17">
            <v>24844</v>
          </cell>
          <cell r="K17">
            <v>3644</v>
          </cell>
          <cell r="L17">
            <v>11844</v>
          </cell>
          <cell r="M17">
            <v>3844</v>
          </cell>
          <cell r="N17">
            <v>3644</v>
          </cell>
          <cell r="O17">
            <v>3644</v>
          </cell>
        </row>
        <row r="18">
          <cell r="D18">
            <v>24600</v>
          </cell>
          <cell r="E18">
            <v>9600</v>
          </cell>
          <cell r="F18">
            <v>7600</v>
          </cell>
          <cell r="G18">
            <v>9600</v>
          </cell>
          <cell r="H18">
            <v>4600</v>
          </cell>
          <cell r="I18">
            <v>16600</v>
          </cell>
          <cell r="J18">
            <v>7600</v>
          </cell>
          <cell r="K18">
            <v>9600</v>
          </cell>
          <cell r="L18">
            <v>5600</v>
          </cell>
          <cell r="M18">
            <v>6600</v>
          </cell>
          <cell r="N18">
            <v>7600</v>
          </cell>
          <cell r="O18">
            <v>45600</v>
          </cell>
        </row>
        <row r="19">
          <cell r="D19">
            <v>8500</v>
          </cell>
          <cell r="E19">
            <v>47960</v>
          </cell>
          <cell r="F19">
            <v>12600</v>
          </cell>
          <cell r="G19">
            <v>700</v>
          </cell>
          <cell r="H19">
            <v>4950</v>
          </cell>
          <cell r="I19">
            <v>13850</v>
          </cell>
          <cell r="J19">
            <v>12850</v>
          </cell>
          <cell r="K19">
            <v>200</v>
          </cell>
          <cell r="L19">
            <v>4200</v>
          </cell>
          <cell r="M19">
            <v>700</v>
          </cell>
          <cell r="N19">
            <v>200</v>
          </cell>
          <cell r="O19">
            <v>700</v>
          </cell>
        </row>
        <row r="21">
          <cell r="D21">
            <v>23770</v>
          </cell>
          <cell r="E21">
            <v>4275</v>
          </cell>
          <cell r="F21">
            <v>5880</v>
          </cell>
          <cell r="G21">
            <v>1270</v>
          </cell>
          <cell r="H21">
            <v>8270</v>
          </cell>
          <cell r="I21">
            <v>1270</v>
          </cell>
          <cell r="J21">
            <v>2770</v>
          </cell>
          <cell r="K21">
            <v>1270</v>
          </cell>
          <cell r="L21">
            <v>2270</v>
          </cell>
          <cell r="M21">
            <v>1270</v>
          </cell>
          <cell r="N21">
            <v>2270</v>
          </cell>
          <cell r="O21">
            <v>1270</v>
          </cell>
        </row>
        <row r="22">
          <cell r="D22">
            <v>89526.720000000001</v>
          </cell>
          <cell r="E22">
            <v>85187.72</v>
          </cell>
          <cell r="F22">
            <v>81496.72</v>
          </cell>
          <cell r="G22">
            <v>84566.720000000001</v>
          </cell>
          <cell r="H22">
            <v>89206.720000000001</v>
          </cell>
          <cell r="I22">
            <v>82806.720000000001</v>
          </cell>
          <cell r="J22">
            <v>84946.72</v>
          </cell>
          <cell r="K22">
            <v>80047.72</v>
          </cell>
          <cell r="L22">
            <v>84066.72</v>
          </cell>
          <cell r="M22">
            <v>84446.720000000001</v>
          </cell>
          <cell r="N22">
            <v>109956.72</v>
          </cell>
          <cell r="O22">
            <v>80216.72</v>
          </cell>
        </row>
        <row r="23">
          <cell r="D23">
            <v>30069.375</v>
          </cell>
          <cell r="E23">
            <v>23429.375</v>
          </cell>
          <cell r="F23">
            <v>21429.375</v>
          </cell>
          <cell r="G23">
            <v>30069.375</v>
          </cell>
          <cell r="H23">
            <v>21429.375</v>
          </cell>
          <cell r="I23">
            <v>17069.375</v>
          </cell>
          <cell r="J23">
            <v>18429.375</v>
          </cell>
          <cell r="K23">
            <v>23429.375</v>
          </cell>
          <cell r="L23">
            <v>21429.375</v>
          </cell>
          <cell r="M23">
            <v>21429.375</v>
          </cell>
          <cell r="N23">
            <v>23429.375</v>
          </cell>
          <cell r="O23">
            <v>21429.375</v>
          </cell>
        </row>
        <row r="26">
          <cell r="D26">
            <v>13650.3675</v>
          </cell>
          <cell r="E26">
            <v>253650.36749999999</v>
          </cell>
          <cell r="F26">
            <v>108650.36749999999</v>
          </cell>
          <cell r="G26">
            <v>13650.3675</v>
          </cell>
          <cell r="H26">
            <v>13650.3675</v>
          </cell>
          <cell r="I26">
            <v>13650.3675</v>
          </cell>
          <cell r="J26">
            <v>13650.3675</v>
          </cell>
          <cell r="K26">
            <v>13650.3675</v>
          </cell>
          <cell r="L26">
            <v>13650.3675</v>
          </cell>
          <cell r="M26">
            <v>13650.3675</v>
          </cell>
          <cell r="N26">
            <v>13650.3675</v>
          </cell>
          <cell r="O26">
            <v>13650.3675</v>
          </cell>
        </row>
        <row r="27">
          <cell r="D27">
            <v>6349.27</v>
          </cell>
          <cell r="E27">
            <v>6349.27</v>
          </cell>
          <cell r="F27">
            <v>6349.27</v>
          </cell>
          <cell r="G27">
            <v>6349.27</v>
          </cell>
          <cell r="H27">
            <v>6349.27</v>
          </cell>
          <cell r="I27">
            <v>6349.27</v>
          </cell>
          <cell r="J27">
            <v>6349.27</v>
          </cell>
          <cell r="K27">
            <v>6349.27</v>
          </cell>
          <cell r="L27">
            <v>6349.27</v>
          </cell>
          <cell r="M27">
            <v>6349.27</v>
          </cell>
          <cell r="N27">
            <v>6349.27</v>
          </cell>
          <cell r="O27">
            <v>6349.27</v>
          </cell>
        </row>
        <row r="28">
          <cell r="D28">
            <v>12003.9</v>
          </cell>
          <cell r="E28">
            <v>12503.9</v>
          </cell>
          <cell r="F28">
            <v>50003.9</v>
          </cell>
          <cell r="G28">
            <v>17001.95</v>
          </cell>
          <cell r="H28">
            <v>10003.9</v>
          </cell>
          <cell r="I28">
            <v>15003.9</v>
          </cell>
          <cell r="J28">
            <v>11003.9</v>
          </cell>
          <cell r="K28">
            <v>10503.9</v>
          </cell>
          <cell r="L28">
            <v>35003.9</v>
          </cell>
          <cell r="M28">
            <v>10003.9</v>
          </cell>
          <cell r="N28">
            <v>40003.9</v>
          </cell>
          <cell r="O28">
            <v>8003.9</v>
          </cell>
        </row>
        <row r="29">
          <cell r="D29">
            <v>58460</v>
          </cell>
          <cell r="E29">
            <v>58460</v>
          </cell>
          <cell r="F29">
            <v>58460</v>
          </cell>
          <cell r="G29">
            <v>58460</v>
          </cell>
          <cell r="H29">
            <v>58460</v>
          </cell>
          <cell r="I29">
            <v>58460</v>
          </cell>
          <cell r="J29">
            <v>58460</v>
          </cell>
          <cell r="K29">
            <v>58460</v>
          </cell>
          <cell r="L29">
            <v>58460</v>
          </cell>
          <cell r="M29">
            <v>58460</v>
          </cell>
          <cell r="N29">
            <v>58460</v>
          </cell>
          <cell r="O29">
            <v>58460</v>
          </cell>
        </row>
        <row r="30">
          <cell r="D30">
            <v>142507.58600000001</v>
          </cell>
          <cell r="E30">
            <v>137507.58600000001</v>
          </cell>
          <cell r="F30">
            <v>87507.585999999996</v>
          </cell>
          <cell r="G30">
            <v>222507.58600000001</v>
          </cell>
          <cell r="H30">
            <v>132507.58600000001</v>
          </cell>
          <cell r="I30">
            <v>94507.585999999996</v>
          </cell>
          <cell r="J30">
            <v>155507.58600000001</v>
          </cell>
          <cell r="K30">
            <v>82507.585999999996</v>
          </cell>
          <cell r="L30">
            <v>132507.58600000001</v>
          </cell>
          <cell r="M30">
            <v>172507.58600000001</v>
          </cell>
          <cell r="N30">
            <v>97507.585999999996</v>
          </cell>
          <cell r="O30">
            <v>117507.586</v>
          </cell>
        </row>
        <row r="31">
          <cell r="D31">
            <v>33633.333333333328</v>
          </cell>
          <cell r="E31">
            <v>94633.333333333328</v>
          </cell>
          <cell r="F31">
            <v>72353.333333333328</v>
          </cell>
          <cell r="G31">
            <v>38833.333333333328</v>
          </cell>
          <cell r="H31">
            <v>93633.333333333328</v>
          </cell>
          <cell r="I31">
            <v>71633.333333333328</v>
          </cell>
          <cell r="J31">
            <v>36753.333333333328</v>
          </cell>
          <cell r="K31">
            <v>63853.333333333328</v>
          </cell>
          <cell r="L31">
            <v>57258.333333333328</v>
          </cell>
          <cell r="M31">
            <v>177783.33333333331</v>
          </cell>
          <cell r="N31">
            <v>33633.333333333328</v>
          </cell>
          <cell r="O31">
            <v>38633.333333333328</v>
          </cell>
        </row>
        <row r="34">
          <cell r="D34">
            <v>43625.152143333304</v>
          </cell>
          <cell r="E34">
            <v>43625.152143333304</v>
          </cell>
          <cell r="F34">
            <v>43625.152143333304</v>
          </cell>
          <cell r="G34">
            <v>43625.152143333304</v>
          </cell>
          <cell r="H34">
            <v>43625.152143333304</v>
          </cell>
          <cell r="I34">
            <v>43625.152143333304</v>
          </cell>
          <cell r="J34">
            <v>43625.152143333304</v>
          </cell>
          <cell r="K34">
            <v>43625.152143333304</v>
          </cell>
          <cell r="L34">
            <v>43625.152143333304</v>
          </cell>
          <cell r="M34">
            <v>43625.152143333304</v>
          </cell>
          <cell r="N34">
            <v>43625.152143333304</v>
          </cell>
          <cell r="O34">
            <v>43625.152143333304</v>
          </cell>
        </row>
        <row r="36">
          <cell r="D36">
            <v>3998.3333333333335</v>
          </cell>
          <cell r="E36">
            <v>3998.3333333333335</v>
          </cell>
          <cell r="F36">
            <v>3998.3333333333335</v>
          </cell>
          <cell r="G36">
            <v>3998.3333333333335</v>
          </cell>
          <cell r="H36">
            <v>3998.3333333333335</v>
          </cell>
          <cell r="I36">
            <v>3998.3333333333335</v>
          </cell>
          <cell r="J36">
            <v>3998.3333333333335</v>
          </cell>
          <cell r="K36">
            <v>3998.3333333333335</v>
          </cell>
          <cell r="L36">
            <v>3998.3333333333335</v>
          </cell>
          <cell r="M36">
            <v>3998.3333333333335</v>
          </cell>
          <cell r="N36">
            <v>3998.3333333333335</v>
          </cell>
          <cell r="O36">
            <v>3998.3333333333335</v>
          </cell>
        </row>
        <row r="37">
          <cell r="D37">
            <v>14511.5</v>
          </cell>
          <cell r="E37">
            <v>12461.5</v>
          </cell>
          <cell r="F37">
            <v>9892.5</v>
          </cell>
          <cell r="G37">
            <v>12666.5</v>
          </cell>
          <cell r="H37">
            <v>12052.5</v>
          </cell>
          <cell r="I37">
            <v>11516.5</v>
          </cell>
          <cell r="J37">
            <v>11752.5</v>
          </cell>
          <cell r="K37">
            <v>11031.5</v>
          </cell>
          <cell r="L37">
            <v>12122.5</v>
          </cell>
          <cell r="M37">
            <v>12431.5</v>
          </cell>
          <cell r="N37">
            <v>12676.5</v>
          </cell>
          <cell r="O37">
            <v>9332.5</v>
          </cell>
        </row>
        <row r="54">
          <cell r="D54">
            <v>23250</v>
          </cell>
          <cell r="E54">
            <v>23250</v>
          </cell>
          <cell r="F54">
            <v>23250</v>
          </cell>
          <cell r="G54">
            <v>23250</v>
          </cell>
          <cell r="H54">
            <v>23250</v>
          </cell>
          <cell r="I54">
            <v>23250</v>
          </cell>
          <cell r="J54">
            <v>23250</v>
          </cell>
          <cell r="K54">
            <v>23250</v>
          </cell>
          <cell r="L54">
            <v>23250</v>
          </cell>
          <cell r="M54">
            <v>23250</v>
          </cell>
          <cell r="N54">
            <v>23250</v>
          </cell>
          <cell r="O54">
            <v>23250</v>
          </cell>
        </row>
      </sheetData>
      <sheetData sheetId="1"/>
      <sheetData sheetId="2"/>
      <sheetData sheetId="3">
        <row r="28">
          <cell r="H28">
            <v>13350000</v>
          </cell>
        </row>
      </sheetData>
      <sheetData sheetId="4">
        <row r="19">
          <cell r="T19">
            <v>48000000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2023"/>
      <sheetName val="Sheet1"/>
      <sheetName val="Amortisasi "/>
      <sheetName val="Sheet3"/>
      <sheetName val="Sheet4"/>
      <sheetName val="Sheet5"/>
    </sheetNames>
    <sheetDataSet>
      <sheetData sheetId="0">
        <row r="18">
          <cell r="C18">
            <v>163541400</v>
          </cell>
          <cell r="D18">
            <v>8877000</v>
          </cell>
          <cell r="E18">
            <v>4618400</v>
          </cell>
          <cell r="F18">
            <v>16755000</v>
          </cell>
          <cell r="G18">
            <v>112773000</v>
          </cell>
          <cell r="H18">
            <v>30015000</v>
          </cell>
          <cell r="I18">
            <v>16897000</v>
          </cell>
          <cell r="J18">
            <v>8877000</v>
          </cell>
          <cell r="K18">
            <v>1155000</v>
          </cell>
          <cell r="L18">
            <v>168543000</v>
          </cell>
          <cell r="M18">
            <v>8877000</v>
          </cell>
          <cell r="N18">
            <v>1155000</v>
          </cell>
        </row>
      </sheetData>
      <sheetData sheetId="1">
        <row r="15">
          <cell r="E15">
            <v>32.927083333333329</v>
          </cell>
        </row>
      </sheetData>
      <sheetData sheetId="2">
        <row r="2">
          <cell r="B2">
            <v>14191487</v>
          </cell>
        </row>
      </sheetData>
      <sheetData sheetId="3">
        <row r="16">
          <cell r="F16">
            <v>19073145.833333336</v>
          </cell>
          <cell r="G16">
            <v>19073145.833333336</v>
          </cell>
          <cell r="H16">
            <v>19073145.833333336</v>
          </cell>
          <cell r="I16">
            <v>19073145.833333336</v>
          </cell>
          <cell r="J16">
            <v>24823145.833333332</v>
          </cell>
          <cell r="K16">
            <v>19073145.833333336</v>
          </cell>
          <cell r="L16">
            <v>19073145.833333336</v>
          </cell>
          <cell r="M16">
            <v>19073145.833333336</v>
          </cell>
          <cell r="N16">
            <v>19073145.833333336</v>
          </cell>
          <cell r="O16">
            <v>19073145.833333336</v>
          </cell>
          <cell r="P16">
            <v>24073145.833333332</v>
          </cell>
          <cell r="Q16">
            <v>19073145.833333336</v>
          </cell>
        </row>
      </sheetData>
      <sheetData sheetId="4">
        <row r="12">
          <cell r="C12">
            <v>169724480.27483481</v>
          </cell>
          <cell r="D12">
            <v>178422794.39131308</v>
          </cell>
          <cell r="E12">
            <v>183031046.48938778</v>
          </cell>
          <cell r="F12">
            <v>145193869.66136938</v>
          </cell>
          <cell r="G12">
            <v>196722809.84444827</v>
          </cell>
          <cell r="H12">
            <v>203228144.60113719</v>
          </cell>
          <cell r="I12">
            <v>228998969.22388348</v>
          </cell>
          <cell r="J12">
            <v>223626417.59956765</v>
          </cell>
          <cell r="K12">
            <v>228267213.669438</v>
          </cell>
          <cell r="L12">
            <v>264217540.34551147</v>
          </cell>
          <cell r="M12">
            <v>233250947.93551996</v>
          </cell>
          <cell r="N12">
            <v>217115682.80312309</v>
          </cell>
        </row>
      </sheetData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2023 Plan"/>
      <sheetName val="2023 Plan Detail"/>
      <sheetName val="2023 Plan Old"/>
    </sheetNames>
    <sheetDataSet>
      <sheetData sheetId="0"/>
      <sheetData sheetId="1"/>
      <sheetData sheetId="2">
        <row r="50">
          <cell r="J50">
            <v>21150</v>
          </cell>
        </row>
      </sheetData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"/>
      <sheetName val="Sheet2"/>
      <sheetName val="Sheet6"/>
      <sheetName val="Depr"/>
      <sheetName val="Tambahan Depresiasi "/>
      <sheetName val="Budget Depre"/>
    </sheetNames>
    <sheetDataSet>
      <sheetData sheetId="0"/>
      <sheetData sheetId="1"/>
      <sheetData sheetId="2">
        <row r="6">
          <cell r="K6">
            <v>387.5</v>
          </cell>
        </row>
      </sheetData>
      <sheetData sheetId="3"/>
      <sheetData sheetId="4"/>
      <sheetData sheetId="5">
        <row r="3"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4">
          <cell r="E4">
            <v>24540836</v>
          </cell>
          <cell r="F4">
            <v>24540836</v>
          </cell>
          <cell r="G4">
            <v>24540836</v>
          </cell>
          <cell r="H4">
            <v>25374169.333333332</v>
          </cell>
          <cell r="I4">
            <v>25374169.333333332</v>
          </cell>
          <cell r="J4">
            <v>25374169.333333332</v>
          </cell>
          <cell r="K4">
            <v>25374169.333333332</v>
          </cell>
          <cell r="L4">
            <v>25374169.333333332</v>
          </cell>
          <cell r="M4">
            <v>25374169.333333332</v>
          </cell>
          <cell r="N4">
            <v>25374169.333333332</v>
          </cell>
          <cell r="O4">
            <v>25374169.333333332</v>
          </cell>
          <cell r="P4">
            <v>25374169.333333332</v>
          </cell>
        </row>
        <row r="5">
          <cell r="E5">
            <v>105039280</v>
          </cell>
          <cell r="F5">
            <v>105039280</v>
          </cell>
          <cell r="G5">
            <v>105039280</v>
          </cell>
          <cell r="H5">
            <v>105039280</v>
          </cell>
          <cell r="I5">
            <v>105039280</v>
          </cell>
          <cell r="J5">
            <v>105039280</v>
          </cell>
          <cell r="K5">
            <v>105039280</v>
          </cell>
          <cell r="L5">
            <v>105039280</v>
          </cell>
          <cell r="M5">
            <v>105039280</v>
          </cell>
          <cell r="N5">
            <v>105039280</v>
          </cell>
          <cell r="O5">
            <v>105039280</v>
          </cell>
          <cell r="P5">
            <v>105039280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E8">
            <v>49101511.333333336</v>
          </cell>
          <cell r="F8">
            <v>50934844.666666664</v>
          </cell>
          <cell r="G8">
            <v>56768178</v>
          </cell>
          <cell r="H8">
            <v>56768178</v>
          </cell>
          <cell r="I8">
            <v>56768178</v>
          </cell>
          <cell r="J8">
            <v>56768178</v>
          </cell>
          <cell r="K8">
            <v>56768178</v>
          </cell>
          <cell r="L8">
            <v>61768178</v>
          </cell>
          <cell r="M8">
            <v>61768178</v>
          </cell>
          <cell r="N8">
            <v>61768178</v>
          </cell>
          <cell r="O8">
            <v>61768178</v>
          </cell>
          <cell r="P8">
            <v>61768178</v>
          </cell>
        </row>
        <row r="9">
          <cell r="E9">
            <v>10374457</v>
          </cell>
          <cell r="F9">
            <v>10374457</v>
          </cell>
          <cell r="G9">
            <v>10374457</v>
          </cell>
          <cell r="H9">
            <v>10374457</v>
          </cell>
          <cell r="I9">
            <v>10374457</v>
          </cell>
          <cell r="J9">
            <v>10374457</v>
          </cell>
          <cell r="K9">
            <v>10374457</v>
          </cell>
          <cell r="L9">
            <v>10374457</v>
          </cell>
          <cell r="M9">
            <v>10374457</v>
          </cell>
          <cell r="N9">
            <v>10374457</v>
          </cell>
          <cell r="O9">
            <v>10374457</v>
          </cell>
          <cell r="P9">
            <v>10374457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549666</v>
          </cell>
          <cell r="F12">
            <v>1549666</v>
          </cell>
          <cell r="G12">
            <v>1549666</v>
          </cell>
          <cell r="H12">
            <v>1549666</v>
          </cell>
          <cell r="I12">
            <v>1549666</v>
          </cell>
          <cell r="J12">
            <v>1549666</v>
          </cell>
          <cell r="K12">
            <v>1549666</v>
          </cell>
          <cell r="L12">
            <v>1549666</v>
          </cell>
          <cell r="M12">
            <v>1549666</v>
          </cell>
          <cell r="N12">
            <v>1549666</v>
          </cell>
          <cell r="O12">
            <v>1549666</v>
          </cell>
          <cell r="P12">
            <v>1549666</v>
          </cell>
        </row>
        <row r="13">
          <cell r="E13">
            <v>3823000</v>
          </cell>
          <cell r="F13">
            <v>3823000</v>
          </cell>
          <cell r="G13">
            <v>3823000</v>
          </cell>
          <cell r="H13">
            <v>3823000</v>
          </cell>
          <cell r="I13">
            <v>3823000</v>
          </cell>
          <cell r="J13">
            <v>3823000</v>
          </cell>
          <cell r="K13">
            <v>3823000</v>
          </cell>
          <cell r="L13">
            <v>3823000</v>
          </cell>
          <cell r="M13">
            <v>3823000</v>
          </cell>
          <cell r="N13">
            <v>3823000</v>
          </cell>
          <cell r="O13">
            <v>3823000</v>
          </cell>
          <cell r="P13">
            <v>3823000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33358497</v>
          </cell>
          <cell r="F20">
            <v>33358497</v>
          </cell>
          <cell r="G20">
            <v>33358497</v>
          </cell>
          <cell r="H20">
            <v>33358497</v>
          </cell>
          <cell r="I20">
            <v>33358497</v>
          </cell>
          <cell r="J20">
            <v>33358497</v>
          </cell>
          <cell r="K20">
            <v>33358497</v>
          </cell>
          <cell r="L20">
            <v>33358497</v>
          </cell>
          <cell r="M20">
            <v>33358497</v>
          </cell>
          <cell r="N20">
            <v>33358497</v>
          </cell>
          <cell r="O20">
            <v>33358497</v>
          </cell>
          <cell r="P20">
            <v>33358497</v>
          </cell>
        </row>
        <row r="21">
          <cell r="E21">
            <v>247584</v>
          </cell>
          <cell r="F21">
            <v>247584</v>
          </cell>
          <cell r="G21">
            <v>247584</v>
          </cell>
          <cell r="H21">
            <v>247584</v>
          </cell>
          <cell r="I21">
            <v>247584</v>
          </cell>
          <cell r="J21">
            <v>247584</v>
          </cell>
          <cell r="K21">
            <v>247584</v>
          </cell>
          <cell r="L21">
            <v>247584</v>
          </cell>
          <cell r="M21">
            <v>247584</v>
          </cell>
          <cell r="N21">
            <v>247584</v>
          </cell>
          <cell r="O21">
            <v>247584</v>
          </cell>
          <cell r="P21">
            <v>247584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133544999.66666667</v>
          </cell>
          <cell r="F24">
            <v>133544999.66666667</v>
          </cell>
          <cell r="G24">
            <v>133544999.66666667</v>
          </cell>
          <cell r="H24">
            <v>133544999.66666667</v>
          </cell>
          <cell r="I24">
            <v>133544999.66666667</v>
          </cell>
          <cell r="J24">
            <v>133544999.66666667</v>
          </cell>
          <cell r="K24">
            <v>133544999.66666667</v>
          </cell>
          <cell r="L24">
            <v>133544999.66666667</v>
          </cell>
          <cell r="M24">
            <v>133544999.66666667</v>
          </cell>
          <cell r="N24">
            <v>133544999.66666667</v>
          </cell>
          <cell r="O24">
            <v>133544999.66666667</v>
          </cell>
          <cell r="P24">
            <v>133544999.66666667</v>
          </cell>
        </row>
        <row r="25">
          <cell r="E25">
            <v>6143084</v>
          </cell>
          <cell r="F25">
            <v>6143084</v>
          </cell>
          <cell r="G25">
            <v>6143084</v>
          </cell>
          <cell r="H25">
            <v>6143084</v>
          </cell>
          <cell r="I25">
            <v>6143084</v>
          </cell>
          <cell r="J25">
            <v>6143084</v>
          </cell>
          <cell r="K25">
            <v>6143084</v>
          </cell>
          <cell r="L25">
            <v>6143084</v>
          </cell>
          <cell r="M25">
            <v>6143084</v>
          </cell>
          <cell r="N25">
            <v>6143084</v>
          </cell>
          <cell r="O25">
            <v>6143084</v>
          </cell>
          <cell r="P25">
            <v>6143084</v>
          </cell>
        </row>
        <row r="27">
          <cell r="E27">
            <v>0</v>
          </cell>
          <cell r="F27">
            <v>4166666.6666666665</v>
          </cell>
          <cell r="G27">
            <v>4166666.6666666665</v>
          </cell>
          <cell r="H27">
            <v>6666666.666666666</v>
          </cell>
          <cell r="I27">
            <v>6666666.666666666</v>
          </cell>
          <cell r="J27">
            <v>6666666.666666666</v>
          </cell>
          <cell r="K27">
            <v>6666666.666666666</v>
          </cell>
          <cell r="L27">
            <v>6666666.666666666</v>
          </cell>
          <cell r="M27">
            <v>6666666.666666666</v>
          </cell>
          <cell r="N27">
            <v>6666666.666666666</v>
          </cell>
          <cell r="O27">
            <v>6666666.666666666</v>
          </cell>
          <cell r="P27">
            <v>6666666.666666666</v>
          </cell>
        </row>
        <row r="28">
          <cell r="E28">
            <v>292666</v>
          </cell>
          <cell r="F28">
            <v>292666</v>
          </cell>
          <cell r="G28">
            <v>542666</v>
          </cell>
          <cell r="H28">
            <v>542666</v>
          </cell>
          <cell r="I28">
            <v>542666</v>
          </cell>
          <cell r="J28">
            <v>542666</v>
          </cell>
          <cell r="K28">
            <v>542666</v>
          </cell>
          <cell r="L28">
            <v>542666</v>
          </cell>
          <cell r="M28">
            <v>542666</v>
          </cell>
          <cell r="N28">
            <v>542666</v>
          </cell>
          <cell r="O28">
            <v>542666</v>
          </cell>
          <cell r="P28">
            <v>542666</v>
          </cell>
        </row>
        <row r="29">
          <cell r="E29">
            <v>528252</v>
          </cell>
          <cell r="F29">
            <v>528252</v>
          </cell>
          <cell r="G29">
            <v>528252</v>
          </cell>
          <cell r="H29">
            <v>528252</v>
          </cell>
          <cell r="I29">
            <v>528252</v>
          </cell>
          <cell r="J29">
            <v>528252</v>
          </cell>
          <cell r="K29">
            <v>528252</v>
          </cell>
          <cell r="L29">
            <v>528252</v>
          </cell>
          <cell r="M29">
            <v>528252</v>
          </cell>
          <cell r="N29">
            <v>528252</v>
          </cell>
          <cell r="O29">
            <v>528252</v>
          </cell>
          <cell r="P29">
            <v>528252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500000</v>
          </cell>
          <cell r="F33">
            <v>500000</v>
          </cell>
          <cell r="G33">
            <v>3833333.3333333335</v>
          </cell>
          <cell r="H33">
            <v>3833333.3333333335</v>
          </cell>
          <cell r="I33">
            <v>3833333.3333333335</v>
          </cell>
          <cell r="J33">
            <v>3833333.3333333335</v>
          </cell>
          <cell r="K33">
            <v>3833333.3333333335</v>
          </cell>
          <cell r="L33">
            <v>3833333.3333333335</v>
          </cell>
          <cell r="M33">
            <v>3833333.3333333335</v>
          </cell>
          <cell r="N33">
            <v>3833333.3333333335</v>
          </cell>
          <cell r="O33">
            <v>3833333.3333333335</v>
          </cell>
          <cell r="P33">
            <v>3833333.3333333335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1333333.3333333333</v>
          </cell>
          <cell r="F41">
            <v>1333333.3333333333</v>
          </cell>
          <cell r="G41">
            <v>1333333.3333333333</v>
          </cell>
          <cell r="H41">
            <v>1333333.3333333333</v>
          </cell>
          <cell r="I41">
            <v>1333333.3333333333</v>
          </cell>
          <cell r="J41">
            <v>3333333.333333333</v>
          </cell>
          <cell r="K41">
            <v>3333333.333333333</v>
          </cell>
          <cell r="L41">
            <v>3333333.333333333</v>
          </cell>
          <cell r="M41">
            <v>3333333.333333333</v>
          </cell>
          <cell r="N41">
            <v>3333333.333333333</v>
          </cell>
          <cell r="O41">
            <v>3333333.333333333</v>
          </cell>
          <cell r="P41">
            <v>3333333.333333333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36695692</v>
          </cell>
          <cell r="F44">
            <v>36695692</v>
          </cell>
          <cell r="G44">
            <v>36695692</v>
          </cell>
          <cell r="H44">
            <v>36695692</v>
          </cell>
          <cell r="I44">
            <v>36695692</v>
          </cell>
          <cell r="J44">
            <v>36695692</v>
          </cell>
          <cell r="K44">
            <v>36695692</v>
          </cell>
          <cell r="L44">
            <v>36695692</v>
          </cell>
          <cell r="M44">
            <v>36695692</v>
          </cell>
          <cell r="N44">
            <v>36695692</v>
          </cell>
          <cell r="O44">
            <v>36695692</v>
          </cell>
          <cell r="P44">
            <v>36695692</v>
          </cell>
        </row>
        <row r="45">
          <cell r="E45">
            <v>65002216</v>
          </cell>
          <cell r="F45">
            <v>65002216</v>
          </cell>
          <cell r="G45">
            <v>65002216</v>
          </cell>
          <cell r="H45">
            <v>65002216</v>
          </cell>
          <cell r="I45">
            <v>65002216</v>
          </cell>
          <cell r="J45">
            <v>65002216</v>
          </cell>
          <cell r="K45">
            <v>65002216</v>
          </cell>
          <cell r="L45">
            <v>65002216</v>
          </cell>
          <cell r="M45">
            <v>65002216</v>
          </cell>
          <cell r="N45">
            <v>65002216</v>
          </cell>
          <cell r="O45">
            <v>65002216</v>
          </cell>
          <cell r="P45">
            <v>65002216</v>
          </cell>
        </row>
        <row r="47">
          <cell r="E47">
            <v>82218267</v>
          </cell>
          <cell r="F47">
            <v>82218267</v>
          </cell>
          <cell r="G47">
            <v>82218267</v>
          </cell>
          <cell r="H47">
            <v>82218267</v>
          </cell>
          <cell r="I47">
            <v>82218267</v>
          </cell>
          <cell r="J47">
            <v>82218267</v>
          </cell>
          <cell r="K47">
            <v>82218267</v>
          </cell>
          <cell r="L47">
            <v>82218267</v>
          </cell>
          <cell r="M47">
            <v>82218267</v>
          </cell>
          <cell r="N47">
            <v>82218267</v>
          </cell>
          <cell r="O47">
            <v>82218267</v>
          </cell>
          <cell r="P47">
            <v>82218267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664666</v>
          </cell>
          <cell r="F49">
            <v>664666</v>
          </cell>
          <cell r="G49">
            <v>664666</v>
          </cell>
          <cell r="H49">
            <v>664666</v>
          </cell>
          <cell r="I49">
            <v>664666</v>
          </cell>
          <cell r="J49">
            <v>664666</v>
          </cell>
          <cell r="K49">
            <v>664666</v>
          </cell>
          <cell r="L49">
            <v>664666</v>
          </cell>
          <cell r="M49">
            <v>664666</v>
          </cell>
          <cell r="N49">
            <v>664666</v>
          </cell>
          <cell r="O49">
            <v>664666</v>
          </cell>
          <cell r="P49">
            <v>664666</v>
          </cell>
        </row>
        <row r="57">
          <cell r="E57">
            <v>86704559</v>
          </cell>
          <cell r="F57">
            <v>86704559</v>
          </cell>
          <cell r="G57">
            <v>86704559</v>
          </cell>
          <cell r="H57">
            <v>86704559</v>
          </cell>
          <cell r="I57">
            <v>87704559</v>
          </cell>
          <cell r="J57">
            <v>87704559</v>
          </cell>
          <cell r="K57">
            <v>91787892.333333328</v>
          </cell>
          <cell r="L57">
            <v>91787892.333333328</v>
          </cell>
          <cell r="M57">
            <v>91787892.333333328</v>
          </cell>
          <cell r="N57">
            <v>91787892.333333328</v>
          </cell>
          <cell r="O57">
            <v>91787892.333333328</v>
          </cell>
          <cell r="P57">
            <v>91787892.333333328</v>
          </cell>
        </row>
        <row r="60">
          <cell r="E60">
            <v>177905203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_DM"/>
      <sheetName val="QTY BUDGET"/>
      <sheetName val="QTY"/>
      <sheetName val="Sheet15"/>
      <sheetName val="REKAP"/>
      <sheetName val="FOLDING"/>
      <sheetName val="HBR"/>
      <sheetName val="W&amp;M"/>
      <sheetName val="SCHOOL"/>
      <sheetName val="NSB INDOMEDIK"/>
      <sheetName val="NSB RANAYA"/>
      <sheetName val="NSB SAMATOR"/>
      <sheetName val="BNC SERIES"/>
    </sheetNames>
    <sheetDataSet>
      <sheetData sheetId="0">
        <row r="172">
          <cell r="E172">
            <v>11420273230.833683</v>
          </cell>
          <cell r="F172">
            <v>13108737386.124752</v>
          </cell>
          <cell r="G172">
            <v>13277465336.928474</v>
          </cell>
          <cell r="H172">
            <v>12505999748.658501</v>
          </cell>
          <cell r="I172">
            <v>14789730889.719921</v>
          </cell>
          <cell r="J172">
            <v>15090647845.996647</v>
          </cell>
          <cell r="K172">
            <v>19898029100.538742</v>
          </cell>
          <cell r="L172">
            <v>17851808523.730591</v>
          </cell>
          <cell r="M172">
            <v>18437916210.210304</v>
          </cell>
          <cell r="N172">
            <v>22405079583.103172</v>
          </cell>
          <cell r="O172">
            <v>18589759927.958488</v>
          </cell>
          <cell r="P172">
            <v>17396016519.662823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Qty"/>
      <sheetName val="Asumsi"/>
      <sheetName val="Budget IT"/>
      <sheetName val="Budget 2023"/>
      <sheetName val="LEMBUR"/>
      <sheetName val="Summary PPIC"/>
      <sheetName val="Bi. Material Handling"/>
      <sheetName val="Investasi"/>
      <sheetName val="B Pabrik"/>
      <sheetName val="Bi. Gudang"/>
      <sheetName val="ATK &amp; 5S"/>
      <sheetName val="Bi. Pemeliharaan Gedung"/>
    </sheetNames>
    <sheetDataSet>
      <sheetData sheetId="0"/>
      <sheetData sheetId="1" refreshError="1"/>
      <sheetData sheetId="2" refreshError="1"/>
      <sheetData sheetId="3" refreshError="1"/>
      <sheetData sheetId="4">
        <row r="219">
          <cell r="D219">
            <v>1337135114.737314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 EXPENSE"/>
      <sheetName val="Budget Upah per cost center"/>
      <sheetName val="Budget Benefit per cost center"/>
      <sheetName val="LEMBUR MO"/>
      <sheetName val="HRD"/>
      <sheetName val="TNA"/>
      <sheetName val="Event"/>
      <sheetName val="BUILDING MAINTENANCE"/>
      <sheetName val="VEHICLE MAINTENANCE"/>
      <sheetName val="OFFICE EQUIPMENT MAINT"/>
      <sheetName val="ENTERTAIN&amp;REPRESE"/>
      <sheetName val="LEGAL"/>
      <sheetName val="MEETING &amp; MEMBERS"/>
      <sheetName val="MEETING&amp;MEMBERS_1"/>
      <sheetName val="GENERAL SUPPLIES"/>
      <sheetName val="GS_KEAMANAN"/>
      <sheetName val="GS_LIST KEBERSIHAN"/>
      <sheetName val="GS_REKAP ALAT KEBERSIHAN"/>
      <sheetName val="GS_KEBON JERUK"/>
      <sheetName val="GS_PAV 14"/>
      <sheetName val="GS_DIREKSI"/>
      <sheetName val="OFFICE SUPPLIES"/>
      <sheetName val="OS_FOTOKOPI"/>
      <sheetName val="COMMUNICATION"/>
      <sheetName val="TRAVELING &amp; ACCOM"/>
      <sheetName val="TRANSPORTATION"/>
      <sheetName val="TRANS_LANGSIR"/>
      <sheetName val="TRANS_BBM TOL"/>
      <sheetName val="WATER &amp; ELECTRICITY"/>
      <sheetName val="TAX"/>
      <sheetName val="VEHICLE INSURANCE"/>
      <sheetName val="K3"/>
      <sheetName val="G&amp;A EXPENSE RENT"/>
      <sheetName val="G&amp;A EXPENSE MANAGEMENT CONSUL"/>
      <sheetName val="COGM LIMBAH"/>
      <sheetName val="COGM_BUILDING MAINT"/>
      <sheetName val="G&amp;A EXPENSE MATERAI"/>
      <sheetName val="G&amp;A CAPEX"/>
      <sheetName val="OS_ATK"/>
      <sheetName val="GS_UMUM RT"/>
      <sheetName val="COGM_Freight"/>
    </sheetNames>
    <sheetDataSet>
      <sheetData sheetId="0" refreshError="1"/>
      <sheetData sheetId="1" refreshError="1"/>
      <sheetData sheetId="2" refreshError="1"/>
      <sheetData sheetId="3">
        <row r="4">
          <cell r="N4">
            <v>0</v>
          </cell>
          <cell r="O4">
            <v>11799401.060157388</v>
          </cell>
          <cell r="P4">
            <v>0</v>
          </cell>
          <cell r="Q4">
            <v>52728832.719152637</v>
          </cell>
          <cell r="R4">
            <v>0</v>
          </cell>
          <cell r="S4">
            <v>10141477.530789062</v>
          </cell>
          <cell r="T4">
            <v>17307836.806032926</v>
          </cell>
          <cell r="U4">
            <v>0</v>
          </cell>
          <cell r="V4">
            <v>5833467.4823024152</v>
          </cell>
          <cell r="W4">
            <v>39909114.478164047</v>
          </cell>
          <cell r="X4">
            <v>0</v>
          </cell>
          <cell r="Y4">
            <v>0</v>
          </cell>
        </row>
        <row r="5">
          <cell r="N5">
            <v>0</v>
          </cell>
          <cell r="O5">
            <v>12325557.497192528</v>
          </cell>
          <cell r="P5">
            <v>11620889.441674599</v>
          </cell>
          <cell r="Q5">
            <v>4841028.6515789563</v>
          </cell>
          <cell r="R5">
            <v>0</v>
          </cell>
          <cell r="S5">
            <v>25622929.933619648</v>
          </cell>
          <cell r="T5">
            <v>31701884.532478288</v>
          </cell>
          <cell r="U5">
            <v>12717643.253847385</v>
          </cell>
          <cell r="V5">
            <v>16884637.140091091</v>
          </cell>
          <cell r="W5">
            <v>27856993.446685884</v>
          </cell>
          <cell r="X5">
            <v>36066124.139523283</v>
          </cell>
          <cell r="Y5">
            <v>30847450.655947506</v>
          </cell>
        </row>
        <row r="6"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5547386.8200346818</v>
          </cell>
          <cell r="U6">
            <v>2645181.929425268</v>
          </cell>
          <cell r="V6">
            <v>19903123.745035093</v>
          </cell>
          <cell r="W6">
            <v>10746722.719688274</v>
          </cell>
          <cell r="X6">
            <v>6093557.5202576388</v>
          </cell>
          <cell r="Y6">
            <v>4797739.3634541705</v>
          </cell>
        </row>
        <row r="7"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</row>
        <row r="8">
          <cell r="N8">
            <v>0</v>
          </cell>
          <cell r="O8">
            <v>0</v>
          </cell>
          <cell r="P8">
            <v>0</v>
          </cell>
          <cell r="Q8">
            <v>12258962.505620956</v>
          </cell>
          <cell r="R8">
            <v>0</v>
          </cell>
          <cell r="S8">
            <v>0</v>
          </cell>
          <cell r="T8">
            <v>38159261.780242354</v>
          </cell>
          <cell r="U8">
            <v>0</v>
          </cell>
          <cell r="V8">
            <v>9029346.754660584</v>
          </cell>
          <cell r="W8">
            <v>39502491.921472728</v>
          </cell>
          <cell r="X8">
            <v>1656034.3500391955</v>
          </cell>
          <cell r="Y8">
            <v>0</v>
          </cell>
        </row>
        <row r="9"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1963360.8436416183</v>
          </cell>
          <cell r="S9">
            <v>1038796.3736358383</v>
          </cell>
          <cell r="T9">
            <v>0</v>
          </cell>
          <cell r="U9">
            <v>2728639.6332762521</v>
          </cell>
          <cell r="V9">
            <v>3719019.5285078809</v>
          </cell>
          <cell r="W9">
            <v>7985484.7459218549</v>
          </cell>
          <cell r="X9">
            <v>4555793.2108269762</v>
          </cell>
          <cell r="Y9">
            <v>13964810.951557694</v>
          </cell>
        </row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7726135.0735723702</v>
          </cell>
          <cell r="T10">
            <v>66288057.313921221</v>
          </cell>
          <cell r="U10">
            <v>8692833.4941621907</v>
          </cell>
          <cell r="V10">
            <v>64645356.359889492</v>
          </cell>
          <cell r="W10">
            <v>100928568.80715618</v>
          </cell>
          <cell r="X10">
            <v>30562778.756208096</v>
          </cell>
          <cell r="Y10">
            <v>39246948.372559384</v>
          </cell>
        </row>
        <row r="11">
          <cell r="N11">
            <v>0</v>
          </cell>
          <cell r="O11">
            <v>1284615.9840627704</v>
          </cell>
          <cell r="P11">
            <v>664050.82523854845</v>
          </cell>
          <cell r="Q11">
            <v>4708695.8657745998</v>
          </cell>
          <cell r="R11">
            <v>392672.16872832365</v>
          </cell>
          <cell r="S11">
            <v>2680904.3566669435</v>
          </cell>
          <cell r="T11">
            <v>13873621.197707195</v>
          </cell>
          <cell r="U11">
            <v>2375541.8262560405</v>
          </cell>
          <cell r="V11">
            <v>11599591.886467323</v>
          </cell>
          <cell r="W11">
            <v>19891480.979798403</v>
          </cell>
          <cell r="X11">
            <v>6457493.3884397624</v>
          </cell>
          <cell r="Y11">
            <v>8107001.1385651547</v>
          </cell>
        </row>
        <row r="12">
          <cell r="N12">
            <v>0</v>
          </cell>
          <cell r="O12">
            <v>428369.63861271681</v>
          </cell>
          <cell r="P12">
            <v>428369.63861271681</v>
          </cell>
          <cell r="Q12">
            <v>428369.63861271681</v>
          </cell>
          <cell r="R12">
            <v>428369.63861271681</v>
          </cell>
          <cell r="S12">
            <v>2998587.4702890175</v>
          </cell>
          <cell r="T12">
            <v>10433860.483352602</v>
          </cell>
          <cell r="U12">
            <v>4344892.048786127</v>
          </cell>
          <cell r="V12">
            <v>9913697.3507514447</v>
          </cell>
          <cell r="W12">
            <v>0</v>
          </cell>
          <cell r="X12">
            <v>5813587.9526011562</v>
          </cell>
          <cell r="Y12">
            <v>5568805.3019653177</v>
          </cell>
        </row>
        <row r="13">
          <cell r="N13">
            <v>24478265.063583817</v>
          </cell>
          <cell r="O13">
            <v>24478265.063583817</v>
          </cell>
          <cell r="P13">
            <v>24478265.063583817</v>
          </cell>
          <cell r="Q13">
            <v>24478265.063583817</v>
          </cell>
          <cell r="R13">
            <v>24478265.063583817</v>
          </cell>
          <cell r="S13">
            <v>24478265.063583817</v>
          </cell>
          <cell r="T13">
            <v>24478265.063583817</v>
          </cell>
          <cell r="U13">
            <v>24478265.063583817</v>
          </cell>
          <cell r="V13">
            <v>24478265.063583817</v>
          </cell>
          <cell r="W13">
            <v>24478265.063583817</v>
          </cell>
          <cell r="X13">
            <v>24478265.063583817</v>
          </cell>
          <cell r="Y13">
            <v>24478265.063583817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_DM"/>
      <sheetName val="QTY BUDGET"/>
      <sheetName val="Woodline"/>
      <sheetName val="QTY"/>
      <sheetName val="Sheet15"/>
      <sheetName val="REKAP"/>
      <sheetName val="FOLDING"/>
      <sheetName val="HBR"/>
      <sheetName val="W&amp;M"/>
      <sheetName val="SCHOOL"/>
      <sheetName val="NSB INDOMEDIK"/>
      <sheetName val="NSB RANAYA"/>
      <sheetName val="NSB SAMATOR"/>
      <sheetName val="BNC SERIES"/>
    </sheetNames>
    <sheetDataSet>
      <sheetData sheetId="0" refreshError="1"/>
      <sheetData sheetId="1" refreshError="1"/>
      <sheetData sheetId="2">
        <row r="20">
          <cell r="D20">
            <v>62360937.5</v>
          </cell>
          <cell r="E20">
            <v>51272500</v>
          </cell>
          <cell r="F20">
            <v>45540337.5</v>
          </cell>
          <cell r="G20">
            <v>38321250</v>
          </cell>
          <cell r="H20">
            <v>75057422.5</v>
          </cell>
          <cell r="I20">
            <v>84093750</v>
          </cell>
          <cell r="J20">
            <v>113559742.5</v>
          </cell>
          <cell r="K20">
            <v>119087500</v>
          </cell>
          <cell r="L20">
            <v>110055000</v>
          </cell>
          <cell r="M20">
            <v>108881250</v>
          </cell>
          <cell r="N20">
            <v>97035000</v>
          </cell>
          <cell r="O20">
            <v>77517107.5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QTY+VALUE"/>
      <sheetName val="EXPENSE"/>
      <sheetName val="REKAP"/>
    </sheetNames>
    <sheetDataSet>
      <sheetData sheetId="0" refreshError="1"/>
      <sheetData sheetId="1">
        <row r="10">
          <cell r="D10">
            <v>331722265.89473689</v>
          </cell>
          <cell r="E10">
            <v>322695108.39473683</v>
          </cell>
          <cell r="F10">
            <v>369078964.5</v>
          </cell>
          <cell r="G10">
            <v>271672776.89473689</v>
          </cell>
          <cell r="H10">
            <v>323522286.39473683</v>
          </cell>
          <cell r="I10">
            <v>371612653</v>
          </cell>
          <cell r="J10">
            <v>631929336.78947377</v>
          </cell>
          <cell r="K10">
            <v>598440729.78947377</v>
          </cell>
          <cell r="L10">
            <v>652522110.28947365</v>
          </cell>
          <cell r="M10">
            <v>633259930.78947365</v>
          </cell>
          <cell r="N10">
            <v>729580450</v>
          </cell>
          <cell r="O10">
            <v>659616263.39473689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8">
          <cell r="G28">
            <v>46478653.663333334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Local Sales to FIC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R&amp;D 2023"/>
      <sheetName val="Sheet2"/>
      <sheetName val="Sheet3"/>
    </sheetNames>
    <sheetDataSet>
      <sheetData sheetId="0">
        <row r="53">
          <cell r="G53">
            <v>0</v>
          </cell>
          <cell r="H53">
            <v>50000000</v>
          </cell>
          <cell r="I53">
            <v>55000000</v>
          </cell>
          <cell r="J53">
            <v>42000000</v>
          </cell>
          <cell r="K53">
            <v>22000000</v>
          </cell>
          <cell r="L53">
            <v>0</v>
          </cell>
          <cell r="M53">
            <v>50000000</v>
          </cell>
          <cell r="N53">
            <v>0</v>
          </cell>
          <cell r="O53">
            <v>20000000</v>
          </cell>
          <cell r="P53">
            <v>0</v>
          </cell>
          <cell r="Q53">
            <v>20000000</v>
          </cell>
          <cell r="R53">
            <v>0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Expenses"/>
      <sheetName val="Trading - Expense"/>
      <sheetName val="SLS-MKT - Expense"/>
      <sheetName val="BusDev - Expense"/>
      <sheetName val="MKT - Dinas"/>
      <sheetName val="SLS - Dinas"/>
      <sheetName val="E-Kat - Dinas"/>
      <sheetName val="NSB - Dinas"/>
      <sheetName val="Trading - Dinas"/>
      <sheetName val="BtoC - Dinas"/>
      <sheetName val="ASP - Dinas"/>
      <sheetName val="Project - Dinas"/>
      <sheetName val="MKT - Promotion"/>
      <sheetName val="BusDev - Promotion"/>
      <sheetName val="SLS-Transport&amp;Asuransi"/>
      <sheetName val="BusDev-Transport&amp;Asuransi"/>
      <sheetName val="ATK,POS &amp;Materai (HC)"/>
      <sheetName val="Inventaris(IT&amp;HC)"/>
      <sheetName val="Sample (RnD)"/>
    </sheetNames>
    <sheetDataSet>
      <sheetData sheetId="0">
        <row r="9">
          <cell r="B9">
            <v>321000</v>
          </cell>
          <cell r="C9">
            <v>268520</v>
          </cell>
          <cell r="D9">
            <v>272500</v>
          </cell>
          <cell r="E9">
            <v>239500</v>
          </cell>
          <cell r="F9">
            <v>130000</v>
          </cell>
          <cell r="G9">
            <v>310000</v>
          </cell>
          <cell r="H9">
            <v>181250</v>
          </cell>
          <cell r="I9">
            <v>152500</v>
          </cell>
          <cell r="J9">
            <v>170000</v>
          </cell>
          <cell r="K9">
            <v>383000</v>
          </cell>
          <cell r="L9">
            <v>70000</v>
          </cell>
          <cell r="M9">
            <v>20000</v>
          </cell>
        </row>
        <row r="12">
          <cell r="B12">
            <v>30000</v>
          </cell>
          <cell r="C12">
            <v>30000</v>
          </cell>
          <cell r="D12">
            <v>30000</v>
          </cell>
          <cell r="E12">
            <v>30000</v>
          </cell>
          <cell r="F12">
            <v>30000</v>
          </cell>
          <cell r="G12">
            <v>30000</v>
          </cell>
          <cell r="H12">
            <v>30000</v>
          </cell>
          <cell r="I12">
            <v>30000</v>
          </cell>
          <cell r="J12">
            <v>30000</v>
          </cell>
          <cell r="K12">
            <v>30000</v>
          </cell>
          <cell r="L12">
            <v>30000</v>
          </cell>
          <cell r="M12">
            <v>30000</v>
          </cell>
        </row>
        <row r="13">
          <cell r="B13">
            <v>47690</v>
          </cell>
          <cell r="C13">
            <v>34060</v>
          </cell>
          <cell r="D13">
            <v>53600</v>
          </cell>
          <cell r="E13">
            <v>7110</v>
          </cell>
          <cell r="F13">
            <v>45730</v>
          </cell>
          <cell r="G13">
            <v>49890</v>
          </cell>
          <cell r="H13">
            <v>66480</v>
          </cell>
          <cell r="I13">
            <v>52920</v>
          </cell>
          <cell r="J13">
            <v>52620</v>
          </cell>
          <cell r="K13">
            <v>71370</v>
          </cell>
          <cell r="L13">
            <v>59500</v>
          </cell>
          <cell r="M13">
            <v>35670</v>
          </cell>
        </row>
        <row r="16">
          <cell r="B16">
            <v>350</v>
          </cell>
          <cell r="C16">
            <v>350</v>
          </cell>
          <cell r="D16">
            <v>350</v>
          </cell>
          <cell r="E16">
            <v>350</v>
          </cell>
          <cell r="F16">
            <v>350</v>
          </cell>
          <cell r="G16">
            <v>350</v>
          </cell>
          <cell r="H16">
            <v>350</v>
          </cell>
          <cell r="I16">
            <v>350</v>
          </cell>
          <cell r="J16">
            <v>350</v>
          </cell>
          <cell r="K16">
            <v>350</v>
          </cell>
          <cell r="L16">
            <v>350</v>
          </cell>
          <cell r="M16">
            <v>350</v>
          </cell>
        </row>
        <row r="28">
          <cell r="B28">
            <v>743096.07353105862</v>
          </cell>
          <cell r="C28">
            <v>736704.15513939643</v>
          </cell>
          <cell r="D28">
            <v>798665.11556238739</v>
          </cell>
          <cell r="E28">
            <v>622753.29875638289</v>
          </cell>
          <cell r="F28">
            <v>999058.02883570723</v>
          </cell>
          <cell r="G28">
            <v>1008868.683572482</v>
          </cell>
          <cell r="H28">
            <v>1181028.6479563469</v>
          </cell>
          <cell r="I28">
            <v>1253731.1352758557</v>
          </cell>
          <cell r="J28">
            <v>1333411.1464974773</v>
          </cell>
          <cell r="K28">
            <v>1332954.4265207206</v>
          </cell>
          <cell r="L28">
            <v>1291699.5549517702</v>
          </cell>
          <cell r="M28">
            <v>1252226.3333953647</v>
          </cell>
        </row>
        <row r="30">
          <cell r="B30">
            <v>15960</v>
          </cell>
          <cell r="C30">
            <v>20560</v>
          </cell>
          <cell r="D30">
            <v>28160</v>
          </cell>
          <cell r="E30">
            <v>5920</v>
          </cell>
          <cell r="F30">
            <v>17560</v>
          </cell>
          <cell r="G30">
            <v>19200</v>
          </cell>
          <cell r="H30">
            <v>37000</v>
          </cell>
          <cell r="I30">
            <v>22400</v>
          </cell>
          <cell r="J30">
            <v>16560</v>
          </cell>
          <cell r="K30">
            <v>23360</v>
          </cell>
          <cell r="L30">
            <v>53630</v>
          </cell>
          <cell r="M30">
            <v>32680</v>
          </cell>
        </row>
        <row r="33">
          <cell r="B33">
            <v>200</v>
          </cell>
          <cell r="C33">
            <v>200</v>
          </cell>
          <cell r="D33">
            <v>200</v>
          </cell>
          <cell r="E33">
            <v>200</v>
          </cell>
          <cell r="F33">
            <v>200</v>
          </cell>
          <cell r="G33">
            <v>200</v>
          </cell>
          <cell r="H33">
            <v>200</v>
          </cell>
          <cell r="I33">
            <v>200</v>
          </cell>
          <cell r="J33">
            <v>200</v>
          </cell>
          <cell r="K33">
            <v>200</v>
          </cell>
          <cell r="L33">
            <v>200</v>
          </cell>
          <cell r="M33">
            <v>200</v>
          </cell>
        </row>
        <row r="43">
          <cell r="B43">
            <v>12000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>
            <v>12300</v>
          </cell>
          <cell r="C44">
            <v>39500</v>
          </cell>
          <cell r="D44">
            <v>39500</v>
          </cell>
          <cell r="E44">
            <v>12300</v>
          </cell>
          <cell r="F44">
            <v>39500</v>
          </cell>
          <cell r="G44">
            <v>12300</v>
          </cell>
          <cell r="H44">
            <v>39500</v>
          </cell>
          <cell r="I44">
            <v>39500</v>
          </cell>
          <cell r="J44">
            <v>39500</v>
          </cell>
          <cell r="K44">
            <v>39500</v>
          </cell>
          <cell r="L44">
            <v>39500</v>
          </cell>
          <cell r="M44">
            <v>39500</v>
          </cell>
        </row>
        <row r="47">
          <cell r="B47">
            <v>470</v>
          </cell>
          <cell r="C47">
            <v>940</v>
          </cell>
          <cell r="D47">
            <v>9960</v>
          </cell>
          <cell r="E47">
            <v>470</v>
          </cell>
          <cell r="F47">
            <v>470</v>
          </cell>
          <cell r="G47">
            <v>470</v>
          </cell>
          <cell r="H47">
            <v>470</v>
          </cell>
          <cell r="I47">
            <v>470</v>
          </cell>
          <cell r="J47">
            <v>470</v>
          </cell>
          <cell r="K47">
            <v>470</v>
          </cell>
          <cell r="L47">
            <v>470</v>
          </cell>
          <cell r="M47">
            <v>470</v>
          </cell>
        </row>
        <row r="60">
          <cell r="B60">
            <v>5500</v>
          </cell>
          <cell r="C60">
            <v>9350</v>
          </cell>
          <cell r="D60">
            <v>5700</v>
          </cell>
          <cell r="E60">
            <v>7500</v>
          </cell>
          <cell r="F60">
            <v>1500</v>
          </cell>
          <cell r="G60">
            <v>9800</v>
          </cell>
          <cell r="H60">
            <v>6500</v>
          </cell>
          <cell r="I60">
            <v>3700</v>
          </cell>
          <cell r="J60">
            <v>500</v>
          </cell>
          <cell r="K60">
            <v>4500</v>
          </cell>
          <cell r="L60">
            <v>4100</v>
          </cell>
          <cell r="M60">
            <v>8500</v>
          </cell>
        </row>
        <row r="62">
          <cell r="B62">
            <v>51972.701500000003</v>
          </cell>
          <cell r="C62">
            <v>52323.360000000001</v>
          </cell>
          <cell r="D62">
            <v>66472.554000000004</v>
          </cell>
          <cell r="E62">
            <v>66999.441500000001</v>
          </cell>
          <cell r="F62">
            <v>66286.991999999998</v>
          </cell>
          <cell r="G62">
            <v>67236.9755</v>
          </cell>
          <cell r="H62">
            <v>66567.592000000004</v>
          </cell>
          <cell r="I62">
            <v>82211.133499999996</v>
          </cell>
          <cell r="J62">
            <v>82307.055999999997</v>
          </cell>
          <cell r="K62">
            <v>82324.319000000003</v>
          </cell>
          <cell r="L62">
            <v>82264.0815</v>
          </cell>
          <cell r="M62">
            <v>66907.3315</v>
          </cell>
        </row>
        <row r="63">
          <cell r="B63">
            <v>1500</v>
          </cell>
          <cell r="C63">
            <v>1500</v>
          </cell>
          <cell r="D63">
            <v>1000</v>
          </cell>
          <cell r="E63">
            <v>2500</v>
          </cell>
          <cell r="F63">
            <v>1500</v>
          </cell>
          <cell r="G63">
            <v>1000</v>
          </cell>
          <cell r="H63">
            <v>1000</v>
          </cell>
          <cell r="I63">
            <v>1000</v>
          </cell>
          <cell r="J63">
            <v>1000</v>
          </cell>
          <cell r="K63">
            <v>1000</v>
          </cell>
          <cell r="L63">
            <v>1000</v>
          </cell>
          <cell r="M63">
            <v>1000</v>
          </cell>
        </row>
        <row r="64">
          <cell r="B64">
            <v>10220</v>
          </cell>
          <cell r="C64">
            <v>14810</v>
          </cell>
          <cell r="D64">
            <v>4980</v>
          </cell>
          <cell r="E64">
            <v>4980</v>
          </cell>
          <cell r="F64">
            <v>5910</v>
          </cell>
          <cell r="G64">
            <v>4980</v>
          </cell>
          <cell r="H64">
            <v>4980</v>
          </cell>
          <cell r="I64">
            <v>4980</v>
          </cell>
          <cell r="J64">
            <v>5910</v>
          </cell>
          <cell r="K64">
            <v>10300</v>
          </cell>
          <cell r="L64">
            <v>4980</v>
          </cell>
          <cell r="M64">
            <v>4980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AL 2021 Qtty"/>
      <sheetName val="LOCAL 2021 Value"/>
      <sheetName val="Budget-Marketing Expenses 2021"/>
      <sheetName val="Budget Local Sales to FICO"/>
    </sheetNames>
    <sheetDataSet>
      <sheetData sheetId="0"/>
      <sheetData sheetId="1"/>
      <sheetData sheetId="2"/>
      <sheetData sheetId="3">
        <row r="10">
          <cell r="D10">
            <v>11239.164780000001</v>
          </cell>
        </row>
        <row r="21">
          <cell r="E21">
            <v>353</v>
          </cell>
          <cell r="F21">
            <v>355</v>
          </cell>
          <cell r="G21">
            <v>446</v>
          </cell>
          <cell r="H21">
            <v>342</v>
          </cell>
          <cell r="I21">
            <v>441</v>
          </cell>
          <cell r="J21">
            <v>479</v>
          </cell>
          <cell r="K21">
            <v>477</v>
          </cell>
          <cell r="L21">
            <v>482</v>
          </cell>
          <cell r="M21">
            <v>488</v>
          </cell>
          <cell r="N21">
            <v>515</v>
          </cell>
          <cell r="O21">
            <v>484</v>
          </cell>
        </row>
        <row r="22">
          <cell r="D22">
            <v>92</v>
          </cell>
          <cell r="E22">
            <v>98</v>
          </cell>
          <cell r="F22">
            <v>85</v>
          </cell>
          <cell r="G22">
            <v>38</v>
          </cell>
          <cell r="H22">
            <v>22</v>
          </cell>
          <cell r="I22">
            <v>34</v>
          </cell>
          <cell r="J22">
            <v>53</v>
          </cell>
          <cell r="K22">
            <v>46</v>
          </cell>
          <cell r="L22">
            <v>42</v>
          </cell>
          <cell r="M22">
            <v>33</v>
          </cell>
          <cell r="N22">
            <v>11</v>
          </cell>
          <cell r="O22">
            <v>50</v>
          </cell>
        </row>
        <row r="24">
          <cell r="D24">
            <v>25</v>
          </cell>
          <cell r="E24">
            <v>30</v>
          </cell>
          <cell r="F24">
            <v>35</v>
          </cell>
          <cell r="G24">
            <v>35</v>
          </cell>
          <cell r="H24">
            <v>30</v>
          </cell>
          <cell r="I24">
            <v>10</v>
          </cell>
          <cell r="J24">
            <v>15</v>
          </cell>
          <cell r="K24">
            <v>30</v>
          </cell>
          <cell r="L24">
            <v>30</v>
          </cell>
          <cell r="M24">
            <v>30</v>
          </cell>
          <cell r="N24">
            <v>30</v>
          </cell>
          <cell r="O24">
            <v>30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aft Budget qnty"/>
      <sheetName val="Draft Budget qnty n amount"/>
      <sheetName val="Accounting"/>
      <sheetName val="Detail Strategi"/>
    </sheetNames>
    <sheetDataSet>
      <sheetData sheetId="0"/>
      <sheetData sheetId="1"/>
      <sheetData sheetId="2">
        <row r="12">
          <cell r="D12">
            <v>1334676278.4000001</v>
          </cell>
        </row>
        <row r="24">
          <cell r="D24">
            <v>36000</v>
          </cell>
          <cell r="E24">
            <v>18000</v>
          </cell>
          <cell r="F24">
            <v>43000</v>
          </cell>
          <cell r="G24">
            <v>39000</v>
          </cell>
          <cell r="H24">
            <v>40000</v>
          </cell>
          <cell r="I24">
            <v>33000</v>
          </cell>
          <cell r="J24">
            <v>34000</v>
          </cell>
          <cell r="K24">
            <v>43000</v>
          </cell>
          <cell r="L24">
            <v>43000</v>
          </cell>
          <cell r="M24">
            <v>43000</v>
          </cell>
          <cell r="N24">
            <v>38000</v>
          </cell>
          <cell r="O24">
            <v>32000</v>
          </cell>
        </row>
        <row r="25">
          <cell r="D25">
            <v>24000</v>
          </cell>
          <cell r="E25">
            <v>32000</v>
          </cell>
          <cell r="F25">
            <v>17000</v>
          </cell>
          <cell r="G25">
            <v>31000</v>
          </cell>
          <cell r="H25">
            <v>35000</v>
          </cell>
          <cell r="I25">
            <v>47000</v>
          </cell>
          <cell r="J25">
            <v>36000</v>
          </cell>
          <cell r="K25">
            <v>32000</v>
          </cell>
          <cell r="L25">
            <v>37000</v>
          </cell>
          <cell r="M25">
            <v>37000</v>
          </cell>
          <cell r="N25">
            <v>37000</v>
          </cell>
          <cell r="O25">
            <v>38000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All (B. Model)"/>
      <sheetName val="Rekap All (category)"/>
      <sheetName val="Lokal - Qty"/>
      <sheetName val="Lokal - Val (Konsol)"/>
      <sheetName val="Lokal - Val (single )"/>
      <sheetName val="NSB - Qty"/>
      <sheetName val="NSB - Val"/>
      <sheetName val="Export - Qty "/>
      <sheetName val="Export - Val"/>
      <sheetName val="BtoC - Qty"/>
      <sheetName val="BtoC - Val"/>
      <sheetName val="ASPro - Qty"/>
      <sheetName val="ASPro - Val"/>
      <sheetName val="Project - Qty"/>
      <sheetName val="Project - Val"/>
      <sheetName val="CCI - Qty"/>
      <sheetName val="CCI - Val (single)"/>
      <sheetName val="CCI - Val (konsol)"/>
      <sheetName val="Lokal - Qty (adjst)"/>
      <sheetName val="Lokal - Val (single)"/>
      <sheetName val="Lokal - Val (single adjst)"/>
    </sheetNames>
    <sheetDataSet>
      <sheetData sheetId="0">
        <row r="25">
          <cell r="C25">
            <v>50961.164218390804</v>
          </cell>
          <cell r="D25">
            <v>53572.904218390802</v>
          </cell>
          <cell r="E25">
            <v>54956.569624521071</v>
          </cell>
          <cell r="F25">
            <v>43595.647624521072</v>
          </cell>
          <cell r="G25">
            <v>59067.63362452107</v>
          </cell>
          <cell r="H25">
            <v>61020.913624521068</v>
          </cell>
          <cell r="I25">
            <v>68758.814624521066</v>
          </cell>
          <cell r="J25">
            <v>67145.662030651336</v>
          </cell>
          <cell r="K25">
            <v>68539.099030651341</v>
          </cell>
          <cell r="L25">
            <v>79333.478830651336</v>
          </cell>
          <cell r="M25">
            <v>70035.506030651333</v>
          </cell>
          <cell r="N25">
            <v>65190.76062452107</v>
          </cell>
        </row>
        <row r="30">
          <cell r="C30">
            <v>19341650.650450449</v>
          </cell>
          <cell r="D30">
            <v>18504292.526126124</v>
          </cell>
          <cell r="E30">
            <v>18442341.708108108</v>
          </cell>
          <cell r="F30">
            <v>13023172.099099096</v>
          </cell>
          <cell r="G30">
            <v>20577960.947747745</v>
          </cell>
          <cell r="H30">
            <v>24343778.097297296</v>
          </cell>
          <cell r="I30">
            <v>24141979.227027021</v>
          </cell>
          <cell r="J30">
            <v>25532472.045045041</v>
          </cell>
          <cell r="K30">
            <v>26200549.388288289</v>
          </cell>
          <cell r="L30">
            <v>27578977.414774772</v>
          </cell>
          <cell r="M30">
            <v>27077590.073873874</v>
          </cell>
          <cell r="N30">
            <v>25586795.563063063</v>
          </cell>
        </row>
        <row r="31">
          <cell r="C31">
            <v>183829.74500000002</v>
          </cell>
          <cell r="D31">
            <v>237351.08600000001</v>
          </cell>
          <cell r="E31">
            <v>221222.75</v>
          </cell>
          <cell r="F31">
            <v>816758.74699999997</v>
          </cell>
          <cell r="G31">
            <v>871430.05699999991</v>
          </cell>
          <cell r="H31">
            <v>726922.38100000005</v>
          </cell>
          <cell r="I31">
            <v>248650.019</v>
          </cell>
          <cell r="J31">
            <v>263131.83999999997</v>
          </cell>
          <cell r="K31">
            <v>955076.94000000018</v>
          </cell>
          <cell r="L31">
            <v>663208.95999999996</v>
          </cell>
          <cell r="M31">
            <v>654853.16300000006</v>
          </cell>
          <cell r="N31">
            <v>199204.56099999999</v>
          </cell>
        </row>
        <row r="32">
          <cell r="C32">
            <v>254562</v>
          </cell>
          <cell r="D32">
            <v>2659246.7999999998</v>
          </cell>
          <cell r="E32">
            <v>2659246.7999999998</v>
          </cell>
          <cell r="F32">
            <v>254562</v>
          </cell>
          <cell r="G32">
            <v>2659246.7999999998</v>
          </cell>
          <cell r="H32">
            <v>254562</v>
          </cell>
          <cell r="I32">
            <v>2659246.7999999998</v>
          </cell>
          <cell r="J32">
            <v>2659246.7999999998</v>
          </cell>
          <cell r="K32">
            <v>2659246.7999999998</v>
          </cell>
          <cell r="L32">
            <v>2659246.7999999998</v>
          </cell>
          <cell r="M32">
            <v>2659246.7999999998</v>
          </cell>
          <cell r="N32">
            <v>2659246.7999999998</v>
          </cell>
        </row>
        <row r="33">
          <cell r="C33">
            <v>128404.86486486487</v>
          </cell>
          <cell r="D33">
            <v>139544.86486486485</v>
          </cell>
          <cell r="E33">
            <v>106992.97297297296</v>
          </cell>
          <cell r="F33">
            <v>145140</v>
          </cell>
          <cell r="G33">
            <v>121781.08108108105</v>
          </cell>
          <cell r="H33">
            <v>130528.10810810808</v>
          </cell>
          <cell r="I33">
            <v>109648.10810810809</v>
          </cell>
          <cell r="J33">
            <v>120536.75675675675</v>
          </cell>
          <cell r="K33">
            <v>123603.24324324323</v>
          </cell>
          <cell r="L33">
            <v>124618.91891891891</v>
          </cell>
          <cell r="M33">
            <v>124618.91891891891</v>
          </cell>
          <cell r="N33">
            <v>124618.91891891891</v>
          </cell>
        </row>
        <row r="34">
          <cell r="C34">
            <v>75619</v>
          </cell>
          <cell r="D34">
            <v>75976</v>
          </cell>
          <cell r="E34">
            <v>72436</v>
          </cell>
          <cell r="F34">
            <v>51563</v>
          </cell>
          <cell r="G34">
            <v>51563</v>
          </cell>
          <cell r="H34">
            <v>73963</v>
          </cell>
          <cell r="I34">
            <v>72896</v>
          </cell>
          <cell r="J34">
            <v>74911</v>
          </cell>
          <cell r="K34">
            <v>74989</v>
          </cell>
          <cell r="L34">
            <v>74540</v>
          </cell>
          <cell r="M34">
            <v>72565</v>
          </cell>
          <cell r="N34">
            <v>69065</v>
          </cell>
        </row>
        <row r="35">
          <cell r="C35">
            <v>1500000</v>
          </cell>
          <cell r="D35">
            <v>1500000</v>
          </cell>
          <cell r="E35">
            <v>2000000</v>
          </cell>
          <cell r="F35">
            <v>7500000</v>
          </cell>
          <cell r="G35">
            <v>2000000</v>
          </cell>
          <cell r="H35">
            <v>2000000</v>
          </cell>
          <cell r="I35">
            <v>7500000</v>
          </cell>
          <cell r="J35">
            <v>2500000</v>
          </cell>
          <cell r="K35">
            <v>2500000</v>
          </cell>
          <cell r="L35">
            <v>8000000</v>
          </cell>
          <cell r="M35">
            <v>2500000</v>
          </cell>
          <cell r="N35">
            <v>2000000</v>
          </cell>
        </row>
        <row r="36">
          <cell r="C36">
            <v>269177.34000000003</v>
          </cell>
          <cell r="D36">
            <v>735806.92500000005</v>
          </cell>
          <cell r="E36">
            <v>260494.2</v>
          </cell>
          <cell r="F36">
            <v>599309.9</v>
          </cell>
          <cell r="G36">
            <v>387619.86249999999</v>
          </cell>
          <cell r="H36">
            <v>666556.80000000005</v>
          </cell>
          <cell r="I36">
            <v>408703.42499999999</v>
          </cell>
          <cell r="J36">
            <v>666556.80000000005</v>
          </cell>
          <cell r="K36">
            <v>440142.15</v>
          </cell>
          <cell r="L36">
            <v>722479.8</v>
          </cell>
          <cell r="M36">
            <v>238786.35</v>
          </cell>
          <cell r="N36">
            <v>607202.05000000005</v>
          </cell>
        </row>
      </sheetData>
      <sheetData sheetId="1"/>
      <sheetData sheetId="2"/>
      <sheetData sheetId="3"/>
      <sheetData sheetId="4" refreshError="1"/>
      <sheetData sheetId="5">
        <row r="23">
          <cell r="F23">
            <v>2</v>
          </cell>
        </row>
      </sheetData>
      <sheetData sheetId="6"/>
      <sheetData sheetId="7">
        <row r="22">
          <cell r="C22">
            <v>836</v>
          </cell>
        </row>
      </sheetData>
      <sheetData sheetId="8"/>
      <sheetData sheetId="9">
        <row r="21">
          <cell r="C21">
            <v>31</v>
          </cell>
        </row>
      </sheetData>
      <sheetData sheetId="10"/>
      <sheetData sheetId="11">
        <row r="21">
          <cell r="C21">
            <v>12</v>
          </cell>
        </row>
      </sheetData>
      <sheetData sheetId="12"/>
      <sheetData sheetId="13">
        <row r="21">
          <cell r="C21">
            <v>2873.5632183908046</v>
          </cell>
        </row>
      </sheetData>
      <sheetData sheetId="14"/>
      <sheetData sheetId="15">
        <row r="22">
          <cell r="C22">
            <v>3</v>
          </cell>
        </row>
      </sheetData>
      <sheetData sheetId="16"/>
      <sheetData sheetId="17"/>
      <sheetData sheetId="18">
        <row r="22">
          <cell r="C22">
            <v>3818</v>
          </cell>
        </row>
      </sheetData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"/>
      <sheetName val="WS"/>
      <sheetName val="REPORT"/>
      <sheetName val="Penjelasan Biaya"/>
      <sheetName val="Notes"/>
      <sheetName val="PL COnly"/>
      <sheetName val="BS COnly"/>
      <sheetName val="Detail BS"/>
      <sheetName val="CF Conly"/>
      <sheetName val="Aktiva Tetap"/>
      <sheetName val="Rasio"/>
      <sheetName val="Loan"/>
      <sheetName val="INV"/>
      <sheetName val="Aging AR"/>
      <sheetName val="Modal"/>
    </sheetNames>
    <sheetDataSet>
      <sheetData sheetId="0" refreshError="1"/>
      <sheetData sheetId="1">
        <row r="601">
          <cell r="N601">
            <v>13414198650.686644</v>
          </cell>
        </row>
      </sheetData>
      <sheetData sheetId="2">
        <row r="94">
          <cell r="F94">
            <v>240496570531.0199</v>
          </cell>
        </row>
      </sheetData>
      <sheetData sheetId="3" refreshError="1"/>
      <sheetData sheetId="4" refreshError="1"/>
      <sheetData sheetId="5">
        <row r="57">
          <cell r="AB57">
            <v>82571.190768569038</v>
          </cell>
        </row>
        <row r="60">
          <cell r="AB60">
            <v>663.46162949653842</v>
          </cell>
        </row>
        <row r="61">
          <cell r="AB61">
            <v>1942.4422849999996</v>
          </cell>
        </row>
        <row r="63">
          <cell r="AB63">
            <v>775.49529064422438</v>
          </cell>
        </row>
        <row r="64">
          <cell r="AB64">
            <v>9791.2580350711651</v>
          </cell>
        </row>
        <row r="65">
          <cell r="AB65">
            <v>995.30221953115472</v>
          </cell>
        </row>
        <row r="66">
          <cell r="AB66">
            <v>13540.03014255</v>
          </cell>
        </row>
        <row r="67">
          <cell r="AB67">
            <v>5930.9392733655914</v>
          </cell>
        </row>
        <row r="68">
          <cell r="AB68">
            <v>612.93660845694842</v>
          </cell>
        </row>
        <row r="69">
          <cell r="AB69">
            <v>87.755947999999989</v>
          </cell>
        </row>
        <row r="70">
          <cell r="AB70">
            <v>76.634307620000001</v>
          </cell>
        </row>
        <row r="71">
          <cell r="AB71">
            <v>1672.3331886108324</v>
          </cell>
        </row>
        <row r="72">
          <cell r="AB72">
            <v>2185.2125476046385</v>
          </cell>
        </row>
        <row r="73">
          <cell r="AB73">
            <v>1500.4466010721667</v>
          </cell>
        </row>
        <row r="74">
          <cell r="AB74">
            <v>2.5296249999999998</v>
          </cell>
        </row>
        <row r="75">
          <cell r="AB75">
            <v>1617.78492684</v>
          </cell>
        </row>
        <row r="76">
          <cell r="AB76">
            <v>254.62998630000001</v>
          </cell>
        </row>
        <row r="77">
          <cell r="AB77">
            <v>392.93021148000003</v>
          </cell>
        </row>
        <row r="78">
          <cell r="AB78">
            <v>161.07648</v>
          </cell>
        </row>
        <row r="79">
          <cell r="AB79">
            <v>727.33700703791646</v>
          </cell>
        </row>
        <row r="80">
          <cell r="AB80">
            <v>51.933881999999997</v>
          </cell>
        </row>
        <row r="90">
          <cell r="AB90">
            <v>438.57477899999998</v>
          </cell>
        </row>
        <row r="91">
          <cell r="AB91">
            <v>7788.6316585800014</v>
          </cell>
        </row>
        <row r="92">
          <cell r="AB92">
            <v>294.38804246000001</v>
          </cell>
        </row>
        <row r="93">
          <cell r="AB93">
            <v>701.31166809000001</v>
          </cell>
        </row>
        <row r="94">
          <cell r="AB94">
            <v>16.752419000000003</v>
          </cell>
        </row>
        <row r="95">
          <cell r="AB95">
            <v>343.57950003535211</v>
          </cell>
        </row>
        <row r="96">
          <cell r="AB96">
            <v>1419.8147673511703</v>
          </cell>
        </row>
        <row r="97">
          <cell r="AB97">
            <v>420.42968737500001</v>
          </cell>
        </row>
        <row r="98">
          <cell r="AB98">
            <v>30.280947999999999</v>
          </cell>
        </row>
        <row r="105">
          <cell r="AB105">
            <v>12014.08644202434</v>
          </cell>
        </row>
        <row r="106">
          <cell r="AB106">
            <v>1481.2454368276501</v>
          </cell>
        </row>
        <row r="110">
          <cell r="AB110">
            <v>3141.8385278245696</v>
          </cell>
        </row>
        <row r="111">
          <cell r="AB111">
            <v>73.223943110003361</v>
          </cell>
        </row>
        <row r="112">
          <cell r="AB112">
            <v>31.000522</v>
          </cell>
        </row>
        <row r="113">
          <cell r="AB113">
            <v>15.7765</v>
          </cell>
        </row>
        <row r="114">
          <cell r="AB114">
            <v>54.665474849999995</v>
          </cell>
        </row>
        <row r="115">
          <cell r="AB115">
            <v>0.19</v>
          </cell>
        </row>
        <row r="116">
          <cell r="AB116">
            <v>18.0959</v>
          </cell>
        </row>
        <row r="117">
          <cell r="AB117">
            <v>129.50470826999998</v>
          </cell>
        </row>
        <row r="118">
          <cell r="AB118">
            <v>10.006792000000001</v>
          </cell>
        </row>
        <row r="119">
          <cell r="AB119">
            <v>210.569839</v>
          </cell>
        </row>
        <row r="120">
          <cell r="AB120">
            <v>29.402000000000001</v>
          </cell>
        </row>
        <row r="121">
          <cell r="AB121">
            <v>101.25386</v>
          </cell>
        </row>
        <row r="123">
          <cell r="AB123">
            <v>456.97979022999999</v>
          </cell>
        </row>
        <row r="124">
          <cell r="AB124">
            <v>289.79337823000003</v>
          </cell>
        </row>
        <row r="125">
          <cell r="AB125">
            <v>36.153830865833335</v>
          </cell>
        </row>
        <row r="127">
          <cell r="AB127">
            <v>692.06074900241686</v>
          </cell>
        </row>
        <row r="129">
          <cell r="AB129">
            <v>232.80118242857145</v>
          </cell>
        </row>
        <row r="130">
          <cell r="AB130">
            <v>2.7708079999999997</v>
          </cell>
        </row>
        <row r="131">
          <cell r="AB131">
            <v>77.281278</v>
          </cell>
        </row>
        <row r="132">
          <cell r="AB132">
            <v>244.4542497104492</v>
          </cell>
        </row>
        <row r="133">
          <cell r="AB133">
            <v>11.911372</v>
          </cell>
        </row>
        <row r="134">
          <cell r="AB134">
            <v>113.53189883791667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>
        <row r="3">
          <cell r="G3">
            <v>26481180.440000001</v>
          </cell>
          <cell r="H3">
            <v>1839265.0366666669</v>
          </cell>
          <cell r="I3">
            <v>856705.33333333337</v>
          </cell>
          <cell r="J3">
            <v>143916.66666666666</v>
          </cell>
          <cell r="K3">
            <v>679600</v>
          </cell>
          <cell r="L3">
            <v>1324270.8264000001</v>
          </cell>
          <cell r="M3">
            <v>220740.30000000002</v>
          </cell>
          <cell r="N3">
            <v>919632.51833333343</v>
          </cell>
        </row>
        <row r="4">
          <cell r="G4">
            <v>11845295.109999999</v>
          </cell>
          <cell r="H4">
            <v>838357.92583333328</v>
          </cell>
          <cell r="I4">
            <v>175578.33333333334</v>
          </cell>
          <cell r="J4">
            <v>35979.166666666664</v>
          </cell>
          <cell r="K4">
            <v>169900</v>
          </cell>
          <cell r="L4">
            <v>603617.70659999992</v>
          </cell>
          <cell r="M4">
            <v>56714.212500000001</v>
          </cell>
          <cell r="N4">
            <v>419178.96291666664</v>
          </cell>
        </row>
        <row r="5">
          <cell r="G5">
            <v>12870590.220000001</v>
          </cell>
          <cell r="H5">
            <v>915049.18500000006</v>
          </cell>
          <cell r="I5">
            <v>460668.66666666669</v>
          </cell>
          <cell r="J5">
            <v>71958.333333333328</v>
          </cell>
          <cell r="K5">
            <v>339800</v>
          </cell>
          <cell r="L5">
            <v>658835.41320000007</v>
          </cell>
          <cell r="M5">
            <v>110370.15000000001</v>
          </cell>
          <cell r="N5">
            <v>457524.59250000003</v>
          </cell>
        </row>
        <row r="6">
          <cell r="G6">
            <v>6080295.1100000003</v>
          </cell>
          <cell r="H6">
            <v>427941.25916666671</v>
          </cell>
          <cell r="I6">
            <v>56190.333333333336</v>
          </cell>
          <cell r="J6">
            <v>35979.166666666664</v>
          </cell>
          <cell r="K6">
            <v>169900</v>
          </cell>
          <cell r="L6">
            <v>308117.70660000003</v>
          </cell>
          <cell r="N6">
            <v>213970.62958333336</v>
          </cell>
        </row>
        <row r="7">
          <cell r="G7">
            <v>6155295.1100000003</v>
          </cell>
          <cell r="H7">
            <v>434191.25916666671</v>
          </cell>
          <cell r="I7">
            <v>230334.33333333334</v>
          </cell>
          <cell r="J7">
            <v>35979.166666666664</v>
          </cell>
          <cell r="K7">
            <v>169900</v>
          </cell>
          <cell r="L7">
            <v>312617.70660000003</v>
          </cell>
          <cell r="M7">
            <v>55185.075000000004</v>
          </cell>
          <cell r="N7">
            <v>217095.62958333336</v>
          </cell>
        </row>
        <row r="8">
          <cell r="G8">
            <v>90632951.099999994</v>
          </cell>
          <cell r="H8">
            <v>6450245.9249999998</v>
          </cell>
          <cell r="I8">
            <v>1617252.6666666665</v>
          </cell>
          <cell r="L8">
            <v>4644177.0660000006</v>
          </cell>
          <cell r="M8">
            <v>562246.16250000009</v>
          </cell>
          <cell r="N8">
            <v>3225122.9624999999</v>
          </cell>
        </row>
        <row r="9">
          <cell r="G9">
            <v>38900885.329999998</v>
          </cell>
          <cell r="H9">
            <v>2681740.4441666668</v>
          </cell>
          <cell r="I9">
            <v>946495</v>
          </cell>
          <cell r="J9">
            <v>107937.5</v>
          </cell>
          <cell r="K9">
            <v>509700</v>
          </cell>
          <cell r="L9">
            <v>1930853.1197999998</v>
          </cell>
          <cell r="M9">
            <v>184757.92499999999</v>
          </cell>
          <cell r="N9">
            <v>1340870.2220833334</v>
          </cell>
        </row>
        <row r="10">
          <cell r="G10">
            <v>74092065.769999996</v>
          </cell>
          <cell r="H10">
            <v>5229338.814166666</v>
          </cell>
          <cell r="I10">
            <v>1895850.3333333333</v>
          </cell>
          <cell r="J10">
            <v>251854.16666666663</v>
          </cell>
          <cell r="K10">
            <v>1189300</v>
          </cell>
          <cell r="M10">
            <v>405498.22499999998</v>
          </cell>
          <cell r="N10">
            <v>2614669.407083333</v>
          </cell>
        </row>
        <row r="11">
          <cell r="G11">
            <v>20305590.219999999</v>
          </cell>
          <cell r="H11">
            <v>1403382.5183333333</v>
          </cell>
          <cell r="I11">
            <v>405912.66666666669</v>
          </cell>
          <cell r="J11">
            <v>71958.333333333328</v>
          </cell>
          <cell r="K11">
            <v>339800</v>
          </cell>
          <cell r="M11">
            <v>113428.425</v>
          </cell>
          <cell r="N11">
            <v>701691.25916666666</v>
          </cell>
        </row>
        <row r="12">
          <cell r="G12">
            <v>37561180.439999998</v>
          </cell>
          <cell r="H12">
            <v>2622598.37</v>
          </cell>
          <cell r="I12">
            <v>568085.66666666674</v>
          </cell>
          <cell r="J12">
            <v>143916.66666666666</v>
          </cell>
          <cell r="K12">
            <v>679600</v>
          </cell>
          <cell r="M12">
            <v>225908.51250000001</v>
          </cell>
          <cell r="N12">
            <v>1311299.1850000001</v>
          </cell>
        </row>
        <row r="13">
          <cell r="G13">
            <v>80337360.879999995</v>
          </cell>
          <cell r="H13">
            <v>5653530.0733333332</v>
          </cell>
          <cell r="I13">
            <v>1568842.6666666665</v>
          </cell>
          <cell r="J13">
            <v>287833.33333333331</v>
          </cell>
          <cell r="K13">
            <v>1359200</v>
          </cell>
          <cell r="L13">
            <v>4070541.6528000003</v>
          </cell>
          <cell r="M13">
            <v>449707.08750000002</v>
          </cell>
          <cell r="N13">
            <v>2826765.0366666666</v>
          </cell>
        </row>
        <row r="14">
          <cell r="G14">
            <v>564819917.64076948</v>
          </cell>
          <cell r="H14">
            <v>41459993.136730783</v>
          </cell>
          <cell r="I14">
            <v>8476536.333333334</v>
          </cell>
          <cell r="J14">
            <v>1282020.8333333333</v>
          </cell>
          <cell r="K14">
            <v>5946500</v>
          </cell>
          <cell r="L14">
            <v>26521195.058446147</v>
          </cell>
          <cell r="M14">
            <v>1969188.1324999989</v>
          </cell>
          <cell r="N14">
            <v>12939131.183750004</v>
          </cell>
        </row>
        <row r="15">
          <cell r="G15">
            <v>44606180.439999998</v>
          </cell>
          <cell r="H15">
            <v>3122181.7033333336</v>
          </cell>
          <cell r="I15">
            <v>813207.66666666674</v>
          </cell>
          <cell r="J15">
            <v>143916.66666666666</v>
          </cell>
          <cell r="K15">
            <v>679600</v>
          </cell>
          <cell r="L15">
            <v>2247970.8263999997</v>
          </cell>
          <cell r="M15">
            <v>216370.6875</v>
          </cell>
        </row>
        <row r="16">
          <cell r="G16">
            <v>87542951.099999994</v>
          </cell>
          <cell r="H16">
            <v>5965245.9250000007</v>
          </cell>
          <cell r="I16">
            <v>1286393.9999999998</v>
          </cell>
          <cell r="J16">
            <v>359791.66666666669</v>
          </cell>
          <cell r="K16">
            <v>1699000</v>
          </cell>
          <cell r="L16">
            <v>4294977.0659999996</v>
          </cell>
          <cell r="M16">
            <v>556288.42499999993</v>
          </cell>
          <cell r="N16">
            <v>2982622.9625000004</v>
          </cell>
        </row>
        <row r="17">
          <cell r="G17">
            <v>29015885.329999998</v>
          </cell>
          <cell r="H17">
            <v>2006740.4441666666</v>
          </cell>
          <cell r="I17">
            <v>693819.66666666674</v>
          </cell>
          <cell r="J17">
            <v>107937.5</v>
          </cell>
          <cell r="K17">
            <v>509700</v>
          </cell>
          <cell r="L17">
            <v>1444853.1198</v>
          </cell>
          <cell r="M17">
            <v>170723.4375</v>
          </cell>
          <cell r="N17">
            <v>1003370.2220833333</v>
          </cell>
        </row>
        <row r="18">
          <cell r="G18">
            <v>41446475.549999997</v>
          </cell>
          <cell r="H18">
            <v>2841372.9625000004</v>
          </cell>
          <cell r="I18">
            <v>848387.33333333337</v>
          </cell>
          <cell r="J18">
            <v>179895.83333333331</v>
          </cell>
          <cell r="K18">
            <v>849500</v>
          </cell>
          <cell r="L18">
            <v>2045788.5330000003</v>
          </cell>
          <cell r="M18">
            <v>284791.65000000002</v>
          </cell>
          <cell r="N18">
            <v>1420686.4812500002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Upah per cost center"/>
      <sheetName val="data master kary 2023"/>
      <sheetName val="Rekap Budget 2023"/>
      <sheetName val="data upah 2023"/>
      <sheetName val="data upah 2023 (2)"/>
      <sheetName val="Budget Upah 2023"/>
      <sheetName val="Transport 2023"/>
      <sheetName val="Premi Hadir 2023"/>
      <sheetName val="Lembur 2023"/>
      <sheetName val="Rekap Lembur 2023 "/>
    </sheetNames>
    <sheetDataSet>
      <sheetData sheetId="0">
        <row r="8">
          <cell r="C8">
            <v>313869102</v>
          </cell>
          <cell r="D8">
            <v>313869102</v>
          </cell>
        </row>
        <row r="9">
          <cell r="C9">
            <v>177531253</v>
          </cell>
          <cell r="D9">
            <v>177531253</v>
          </cell>
        </row>
        <row r="10">
          <cell r="C10">
            <v>98601658</v>
          </cell>
          <cell r="D10">
            <v>98601658</v>
          </cell>
        </row>
        <row r="11">
          <cell r="C11">
            <v>42128451</v>
          </cell>
          <cell r="D11">
            <v>42128451</v>
          </cell>
        </row>
        <row r="12">
          <cell r="C12">
            <v>102044175</v>
          </cell>
          <cell r="D12">
            <v>102044175</v>
          </cell>
        </row>
        <row r="13">
          <cell r="C13">
            <v>43941643</v>
          </cell>
          <cell r="D13">
            <v>43941643</v>
          </cell>
        </row>
        <row r="14">
          <cell r="C14">
            <v>496004477</v>
          </cell>
          <cell r="D14">
            <v>496004477</v>
          </cell>
        </row>
        <row r="17">
          <cell r="C17">
            <v>200630101</v>
          </cell>
          <cell r="D17">
            <v>200630101</v>
          </cell>
        </row>
        <row r="18">
          <cell r="C18">
            <v>15922461</v>
          </cell>
          <cell r="D18">
            <v>15922461</v>
          </cell>
        </row>
        <row r="19">
          <cell r="C19">
            <v>94624351</v>
          </cell>
          <cell r="D19">
            <v>94624351</v>
          </cell>
        </row>
        <row r="20">
          <cell r="C20">
            <v>122556906</v>
          </cell>
          <cell r="D20">
            <v>122556906</v>
          </cell>
        </row>
        <row r="21">
          <cell r="C21">
            <v>26422400</v>
          </cell>
          <cell r="D21">
            <v>26422400</v>
          </cell>
        </row>
        <row r="25">
          <cell r="C25">
            <v>54230809.126600005</v>
          </cell>
          <cell r="D25">
            <v>54230809.126600005</v>
          </cell>
        </row>
        <row r="26">
          <cell r="C26">
            <v>9936604</v>
          </cell>
          <cell r="D26">
            <v>9936604</v>
          </cell>
        </row>
        <row r="27">
          <cell r="C27">
            <v>20242677</v>
          </cell>
          <cell r="D27">
            <v>20242677</v>
          </cell>
        </row>
        <row r="28">
          <cell r="C28">
            <v>135762212</v>
          </cell>
          <cell r="D28">
            <v>135762212</v>
          </cell>
        </row>
        <row r="32">
          <cell r="C32">
            <v>158877534</v>
          </cell>
          <cell r="D32">
            <v>158877534</v>
          </cell>
          <cell r="F32">
            <v>23511813.905317925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enefit per cost center"/>
      <sheetName val="data upah BPJS"/>
      <sheetName val="data master kary 2023"/>
      <sheetName val="SEMBAKO"/>
      <sheetName val="Benefit Seragam"/>
      <sheetName val="Benefit makan &amp; susu"/>
      <sheetName val="Benefit Seragam Staf"/>
      <sheetName val="Benefit makan &amp; susu (Staf)"/>
      <sheetName val="Seragam 2023"/>
      <sheetName val="Mkn,Susu,Galon,Vit, klinik 2023"/>
      <sheetName val="data upah 2023"/>
      <sheetName val="Budget Benefit 2023"/>
      <sheetName val="Rekap Budget Benefit 2023"/>
      <sheetName val="Penghrg-MK 2023"/>
      <sheetName val="Sepatu 2023"/>
      <sheetName val="Parcel 2023"/>
      <sheetName val="BPJS-TK&amp;KES 2023"/>
      <sheetName val="DPLK AIA 2023"/>
      <sheetName val="ASURANSI KES 2023"/>
    </sheetNames>
    <sheetDataSet>
      <sheetData sheetId="0">
        <row r="8">
          <cell r="C8">
            <v>10533800</v>
          </cell>
          <cell r="D8">
            <v>24318000</v>
          </cell>
          <cell r="E8">
            <v>11413619.880000001</v>
          </cell>
          <cell r="F8">
            <v>19688494.293000001</v>
          </cell>
          <cell r="G8">
            <v>17120429.82</v>
          </cell>
        </row>
        <row r="9">
          <cell r="C9">
            <v>5946500</v>
          </cell>
          <cell r="D9">
            <v>13504750</v>
          </cell>
          <cell r="E9">
            <v>6464555.3200000003</v>
          </cell>
          <cell r="F9">
            <v>11151357.927000001</v>
          </cell>
          <cell r="G9">
            <v>9696832.9800000004</v>
          </cell>
        </row>
        <row r="10">
          <cell r="C10">
            <v>3398000</v>
          </cell>
          <cell r="D10">
            <v>7737250</v>
          </cell>
          <cell r="E10">
            <v>3588834.52</v>
          </cell>
          <cell r="F10">
            <v>6190739.5470000003</v>
          </cell>
          <cell r="G10">
            <v>5383251.7800000003</v>
          </cell>
        </row>
        <row r="11">
          <cell r="C11">
            <v>1359200</v>
          </cell>
          <cell r="D11">
            <v>3076000</v>
          </cell>
          <cell r="E11">
            <v>1535920.44</v>
          </cell>
          <cell r="F11">
            <v>2649462.7590000001</v>
          </cell>
          <cell r="G11">
            <v>2303880.6599999997</v>
          </cell>
        </row>
        <row r="12">
          <cell r="C12">
            <v>3567900</v>
          </cell>
          <cell r="D12">
            <v>8121750</v>
          </cell>
          <cell r="E12">
            <v>3707883</v>
          </cell>
          <cell r="F12">
            <v>6396098.1750000007</v>
          </cell>
          <cell r="G12">
            <v>5561824.5</v>
          </cell>
        </row>
        <row r="13">
          <cell r="C13">
            <v>1699000</v>
          </cell>
          <cell r="D13">
            <v>3892250</v>
          </cell>
          <cell r="E13">
            <v>1589795.92</v>
          </cell>
          <cell r="F13">
            <v>2742397.9620000003</v>
          </cell>
          <cell r="G13">
            <v>2384693.88</v>
          </cell>
        </row>
        <row r="14">
          <cell r="C14">
            <v>17669600</v>
          </cell>
          <cell r="D14">
            <v>40129750</v>
          </cell>
          <cell r="E14">
            <v>17952946.879999999</v>
          </cell>
          <cell r="F14">
            <v>30968833.368000004</v>
          </cell>
          <cell r="G14">
            <v>26929420.32</v>
          </cell>
        </row>
        <row r="17">
          <cell r="C17">
            <v>6965900</v>
          </cell>
          <cell r="D17">
            <v>18928500</v>
          </cell>
          <cell r="E17">
            <v>7310540.4400000004</v>
          </cell>
          <cell r="F17">
            <v>12610682.259000001</v>
          </cell>
          <cell r="G17">
            <v>10965810.66</v>
          </cell>
        </row>
        <row r="18">
          <cell r="C18">
            <v>1868900</v>
          </cell>
          <cell r="D18">
            <v>4607500</v>
          </cell>
          <cell r="E18">
            <v>580101.84</v>
          </cell>
          <cell r="F18">
            <v>1000675.6740000001</v>
          </cell>
          <cell r="G18">
            <v>870152.76</v>
          </cell>
        </row>
        <row r="19">
          <cell r="C19">
            <v>3737800</v>
          </cell>
          <cell r="D19">
            <v>10166000</v>
          </cell>
          <cell r="E19">
            <v>3449234.44</v>
          </cell>
          <cell r="F19">
            <v>5949929.4090000009</v>
          </cell>
          <cell r="G19">
            <v>5173851.66</v>
          </cell>
        </row>
        <row r="20">
          <cell r="C20">
            <v>5097000</v>
          </cell>
          <cell r="D20">
            <v>11865750</v>
          </cell>
          <cell r="E20">
            <v>4470755.6399999997</v>
          </cell>
          <cell r="F20">
            <v>7712053.4790000003</v>
          </cell>
          <cell r="G20">
            <v>6706133.46</v>
          </cell>
        </row>
        <row r="25">
          <cell r="C25">
            <v>1529100</v>
          </cell>
          <cell r="D25">
            <v>3744000</v>
          </cell>
          <cell r="E25">
            <v>2112435.7650640002</v>
          </cell>
          <cell r="F25">
            <v>3643951.6947354008</v>
          </cell>
          <cell r="G25">
            <v>3168653.6475960002</v>
          </cell>
        </row>
        <row r="26">
          <cell r="C26">
            <v>679600</v>
          </cell>
          <cell r="D26">
            <v>1632500</v>
          </cell>
          <cell r="E26">
            <v>397464.16000000003</v>
          </cell>
          <cell r="F26">
            <v>685625.67600000009</v>
          </cell>
          <cell r="G26">
            <v>596196.24</v>
          </cell>
        </row>
        <row r="27">
          <cell r="C27">
            <v>2038800</v>
          </cell>
          <cell r="D27">
            <v>5086500</v>
          </cell>
          <cell r="E27">
            <v>754762.68</v>
          </cell>
          <cell r="F27">
            <v>1301965.6230000001</v>
          </cell>
          <cell r="G27">
            <v>1132144.02</v>
          </cell>
        </row>
        <row r="28">
          <cell r="C28">
            <v>4927100</v>
          </cell>
          <cell r="E28">
            <v>4963343.4800000004</v>
          </cell>
          <cell r="F28">
            <v>8561767.5030000005</v>
          </cell>
          <cell r="G28">
            <v>7445015.2199999997</v>
          </cell>
        </row>
        <row r="32">
          <cell r="C32">
            <v>11213400</v>
          </cell>
          <cell r="E32">
            <v>5778315.3600000003</v>
          </cell>
          <cell r="F32">
            <v>9967593.9960000012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dan Rahmat" id="{2ED147E8-5190-4854-BAF2-A65594E59C0F}" userId="S::dadan@ChitoseInternasionalPT.onmicrosoft.com::d66a651e-2e88-45a0-9e76-dc38d8a285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2" dT="2022-12-27T14:25:43.88" personId="{2ED147E8-5190-4854-BAF2-A65594E59C0F}" id="{EDC37DB4-6C9F-4CF2-9B62-CA56782A1E64}">
    <text>Sop limbah semi automatic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61"/>
  <sheetViews>
    <sheetView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5" sqref="J5"/>
    </sheetView>
  </sheetViews>
  <sheetFormatPr defaultRowHeight="14.5" x14ac:dyDescent="0.35"/>
  <cols>
    <col min="1" max="1" width="14.90625" bestFit="1" customWidth="1"/>
    <col min="2" max="2" width="15.1796875" customWidth="1"/>
    <col min="3" max="3" width="44.90625" customWidth="1"/>
    <col min="4" max="4" width="52" customWidth="1"/>
    <col min="5" max="5" width="10.90625" customWidth="1"/>
    <col min="6" max="7" width="16.453125" customWidth="1"/>
    <col min="8" max="8" width="69.453125" customWidth="1"/>
    <col min="9" max="9" width="18.6328125" style="10" customWidth="1"/>
  </cols>
  <sheetData>
    <row r="1" spans="1:9" ht="45.5" customHeight="1" thickTop="1" x14ac:dyDescent="0.35">
      <c r="A1" s="367" t="s">
        <v>0</v>
      </c>
      <c r="B1" s="361" t="s">
        <v>1</v>
      </c>
      <c r="C1" s="362"/>
      <c r="D1" s="362"/>
      <c r="E1" s="362"/>
      <c r="F1" s="362"/>
      <c r="G1" s="362"/>
      <c r="H1" s="363"/>
      <c r="I1" s="346"/>
    </row>
    <row r="2" spans="1:9" ht="32.5" customHeight="1" thickBot="1" x14ac:dyDescent="0.4">
      <c r="A2" s="368"/>
      <c r="B2" s="364" t="s">
        <v>47</v>
      </c>
      <c r="C2" s="365"/>
      <c r="D2" s="365"/>
      <c r="E2" s="365"/>
      <c r="F2" s="365"/>
      <c r="G2" s="365"/>
      <c r="H2" s="366"/>
      <c r="I2" s="347"/>
    </row>
    <row r="3" spans="1:9" ht="15.5" customHeight="1" thickTop="1" thickBot="1" x14ac:dyDescent="0.4">
      <c r="A3" s="1"/>
      <c r="B3" s="2"/>
      <c r="C3" s="2"/>
      <c r="D3" s="1"/>
      <c r="E3" s="247">
        <f>SUM(E6:E62)</f>
        <v>0.99500000000000033</v>
      </c>
      <c r="F3" s="1"/>
      <c r="G3" s="1"/>
      <c r="H3" s="2"/>
      <c r="I3" s="9"/>
    </row>
    <row r="4" spans="1:9" ht="16" thickTop="1" x14ac:dyDescent="0.35">
      <c r="A4" s="348" t="s">
        <v>2</v>
      </c>
      <c r="B4" s="357" t="s">
        <v>3</v>
      </c>
      <c r="C4" s="358"/>
      <c r="D4" s="350" t="s">
        <v>4</v>
      </c>
      <c r="E4" s="352" t="s">
        <v>426</v>
      </c>
      <c r="F4" s="352" t="s">
        <v>5</v>
      </c>
      <c r="G4" s="256" t="s">
        <v>428</v>
      </c>
      <c r="H4" s="352" t="s">
        <v>6</v>
      </c>
      <c r="I4" s="355" t="s">
        <v>7</v>
      </c>
    </row>
    <row r="5" spans="1:9" ht="15.5" x14ac:dyDescent="0.35">
      <c r="A5" s="349"/>
      <c r="B5" s="359"/>
      <c r="C5" s="360"/>
      <c r="D5" s="351"/>
      <c r="E5" s="353"/>
      <c r="F5" s="353"/>
      <c r="G5" s="257" t="s">
        <v>427</v>
      </c>
      <c r="H5" s="354"/>
      <c r="I5" s="356"/>
    </row>
    <row r="6" spans="1:9" ht="43.5" customHeight="1" x14ac:dyDescent="0.35">
      <c r="A6" s="380" t="s">
        <v>46</v>
      </c>
      <c r="B6" s="385" t="s">
        <v>8</v>
      </c>
      <c r="C6" s="378" t="s">
        <v>9</v>
      </c>
      <c r="D6" s="138" t="s">
        <v>399</v>
      </c>
      <c r="E6" s="394">
        <v>0.1</v>
      </c>
      <c r="F6" s="136">
        <f>BUDGET!P139/BUDGET!P18</f>
        <v>4.356799232946118E-2</v>
      </c>
      <c r="G6" s="248"/>
      <c r="H6" s="266" t="s">
        <v>348</v>
      </c>
      <c r="I6" s="209" t="s">
        <v>376</v>
      </c>
    </row>
    <row r="7" spans="1:9" ht="29" customHeight="1" x14ac:dyDescent="0.35">
      <c r="A7" s="381"/>
      <c r="B7" s="386"/>
      <c r="C7" s="379"/>
      <c r="D7" s="371" t="s">
        <v>367</v>
      </c>
      <c r="E7" s="395"/>
      <c r="F7" s="373">
        <v>0.08</v>
      </c>
      <c r="G7" s="263"/>
      <c r="H7" s="133" t="s">
        <v>349</v>
      </c>
      <c r="I7" s="209" t="s">
        <v>352</v>
      </c>
    </row>
    <row r="8" spans="1:9" ht="25" customHeight="1" x14ac:dyDescent="0.35">
      <c r="A8" s="381"/>
      <c r="B8" s="386"/>
      <c r="C8" s="379"/>
      <c r="D8" s="372"/>
      <c r="E8" s="396"/>
      <c r="F8" s="374"/>
      <c r="G8" s="269"/>
      <c r="H8" s="133" t="s">
        <v>351</v>
      </c>
      <c r="I8" s="210" t="s">
        <v>352</v>
      </c>
    </row>
    <row r="9" spans="1:9" ht="31" customHeight="1" x14ac:dyDescent="0.35">
      <c r="A9" s="381"/>
      <c r="B9" s="384" t="s">
        <v>10</v>
      </c>
      <c r="C9" s="383" t="s">
        <v>354</v>
      </c>
      <c r="D9" s="180" t="s">
        <v>353</v>
      </c>
      <c r="E9" s="397">
        <v>0.1</v>
      </c>
      <c r="F9" s="181">
        <v>0.11</v>
      </c>
      <c r="G9" s="264">
        <v>0.11</v>
      </c>
      <c r="H9" s="139" t="s">
        <v>273</v>
      </c>
      <c r="I9" s="369" t="s">
        <v>376</v>
      </c>
    </row>
    <row r="10" spans="1:9" ht="36" customHeight="1" thickBot="1" x14ac:dyDescent="0.4">
      <c r="A10" s="382"/>
      <c r="B10" s="384"/>
      <c r="C10" s="383"/>
      <c r="D10" s="138" t="s">
        <v>372</v>
      </c>
      <c r="E10" s="398"/>
      <c r="F10" s="182">
        <v>0.01</v>
      </c>
      <c r="G10" s="265"/>
      <c r="H10" s="267" t="s">
        <v>350</v>
      </c>
      <c r="I10" s="370"/>
    </row>
    <row r="11" spans="1:9" ht="35.5" customHeight="1" x14ac:dyDescent="0.35">
      <c r="A11" s="387" t="s">
        <v>11</v>
      </c>
      <c r="B11" s="313" t="s">
        <v>12</v>
      </c>
      <c r="C11" s="282" t="s">
        <v>13</v>
      </c>
      <c r="D11" s="279" t="s">
        <v>391</v>
      </c>
      <c r="E11" s="399">
        <v>0.05</v>
      </c>
      <c r="F11" s="285" t="s">
        <v>346</v>
      </c>
      <c r="G11" s="237"/>
      <c r="H11" s="146" t="s">
        <v>274</v>
      </c>
      <c r="I11" s="315" t="s">
        <v>376</v>
      </c>
    </row>
    <row r="12" spans="1:9" ht="26.5" customHeight="1" x14ac:dyDescent="0.35">
      <c r="A12" s="388"/>
      <c r="B12" s="313"/>
      <c r="C12" s="283"/>
      <c r="D12" s="280"/>
      <c r="E12" s="327"/>
      <c r="F12" s="286"/>
      <c r="G12" s="237">
        <v>1</v>
      </c>
      <c r="H12" s="147" t="s">
        <v>355</v>
      </c>
      <c r="I12" s="316"/>
    </row>
    <row r="13" spans="1:9" ht="26.5" customHeight="1" x14ac:dyDescent="0.35">
      <c r="A13" s="388"/>
      <c r="B13" s="313"/>
      <c r="C13" s="283"/>
      <c r="D13" s="280"/>
      <c r="E13" s="327"/>
      <c r="F13" s="286"/>
      <c r="G13" s="237"/>
      <c r="H13" s="148" t="s">
        <v>393</v>
      </c>
      <c r="I13" s="316"/>
    </row>
    <row r="14" spans="1:9" ht="26.5" customHeight="1" thickBot="1" x14ac:dyDescent="0.4">
      <c r="A14" s="388"/>
      <c r="B14" s="313"/>
      <c r="C14" s="284"/>
      <c r="D14" s="281"/>
      <c r="E14" s="400"/>
      <c r="F14" s="287"/>
      <c r="G14" s="237"/>
      <c r="H14" s="151" t="s">
        <v>392</v>
      </c>
      <c r="I14" s="316"/>
    </row>
    <row r="15" spans="1:9" ht="29" customHeight="1" x14ac:dyDescent="0.35">
      <c r="A15" s="388"/>
      <c r="B15" s="313"/>
      <c r="C15" s="294" t="s">
        <v>55</v>
      </c>
      <c r="D15" s="279" t="s">
        <v>347</v>
      </c>
      <c r="E15" s="399">
        <v>0.05</v>
      </c>
      <c r="F15" s="285" t="s">
        <v>400</v>
      </c>
      <c r="G15" s="259" t="s">
        <v>430</v>
      </c>
      <c r="H15" s="260" t="s">
        <v>282</v>
      </c>
      <c r="I15" s="316"/>
    </row>
    <row r="16" spans="1:9" ht="29" customHeight="1" x14ac:dyDescent="0.35">
      <c r="A16" s="388"/>
      <c r="B16" s="313"/>
      <c r="C16" s="294"/>
      <c r="D16" s="281"/>
      <c r="E16" s="400"/>
      <c r="F16" s="287"/>
      <c r="G16" s="258"/>
      <c r="H16" s="261" t="s">
        <v>57</v>
      </c>
      <c r="I16" s="316"/>
    </row>
    <row r="17" spans="1:9" ht="53" customHeight="1" thickBot="1" x14ac:dyDescent="0.4">
      <c r="A17" s="389"/>
      <c r="B17" s="200" t="s">
        <v>14</v>
      </c>
      <c r="C17" s="149" t="s">
        <v>15</v>
      </c>
      <c r="D17" s="150" t="s">
        <v>370</v>
      </c>
      <c r="E17" s="238">
        <v>0.02</v>
      </c>
      <c r="F17" s="173" t="s">
        <v>322</v>
      </c>
      <c r="G17" s="249" t="s">
        <v>429</v>
      </c>
      <c r="H17" s="262" t="s">
        <v>321</v>
      </c>
      <c r="I17" s="177" t="s">
        <v>376</v>
      </c>
    </row>
    <row r="18" spans="1:9" ht="32" customHeight="1" x14ac:dyDescent="0.35">
      <c r="A18" s="344" t="s">
        <v>16</v>
      </c>
      <c r="B18" s="306" t="s">
        <v>17</v>
      </c>
      <c r="C18" s="288" t="s">
        <v>52</v>
      </c>
      <c r="D18" s="288" t="s">
        <v>18</v>
      </c>
      <c r="E18" s="297">
        <v>0.1</v>
      </c>
      <c r="F18" s="291" t="s">
        <v>270</v>
      </c>
      <c r="G18" s="291">
        <v>1.8E-3</v>
      </c>
      <c r="H18" s="218" t="s">
        <v>390</v>
      </c>
      <c r="I18" s="273" t="s">
        <v>376</v>
      </c>
    </row>
    <row r="19" spans="1:9" ht="20" customHeight="1" x14ac:dyDescent="0.35">
      <c r="A19" s="345"/>
      <c r="B19" s="307"/>
      <c r="C19" s="289"/>
      <c r="D19" s="289"/>
      <c r="E19" s="298"/>
      <c r="F19" s="292"/>
      <c r="G19" s="292"/>
      <c r="H19" s="5" t="s">
        <v>56</v>
      </c>
      <c r="I19" s="274"/>
    </row>
    <row r="20" spans="1:9" ht="20" customHeight="1" thickBot="1" x14ac:dyDescent="0.4">
      <c r="A20" s="345"/>
      <c r="B20" s="307"/>
      <c r="C20" s="289"/>
      <c r="D20" s="290"/>
      <c r="E20" s="298"/>
      <c r="F20" s="293"/>
      <c r="G20" s="293"/>
      <c r="H20" s="154" t="s">
        <v>283</v>
      </c>
      <c r="I20" s="274"/>
    </row>
    <row r="21" spans="1:9" ht="20" customHeight="1" x14ac:dyDescent="0.35">
      <c r="A21" s="345"/>
      <c r="B21" s="307"/>
      <c r="C21" s="289"/>
      <c r="D21" s="329" t="s">
        <v>404</v>
      </c>
      <c r="E21" s="298"/>
      <c r="F21" s="336" t="s">
        <v>431</v>
      </c>
      <c r="G21" s="250"/>
      <c r="H21" s="225" t="s">
        <v>405</v>
      </c>
      <c r="I21" s="274"/>
    </row>
    <row r="22" spans="1:9" ht="20" customHeight="1" x14ac:dyDescent="0.35">
      <c r="A22" s="345"/>
      <c r="B22" s="307"/>
      <c r="C22" s="289"/>
      <c r="D22" s="289"/>
      <c r="E22" s="298"/>
      <c r="F22" s="292"/>
      <c r="G22" s="268">
        <v>2.8E-3</v>
      </c>
      <c r="H22" s="226" t="s">
        <v>56</v>
      </c>
      <c r="I22" s="274"/>
    </row>
    <row r="23" spans="1:9" ht="20" customHeight="1" x14ac:dyDescent="0.35">
      <c r="A23" s="345"/>
      <c r="B23" s="307"/>
      <c r="C23" s="290"/>
      <c r="D23" s="290"/>
      <c r="E23" s="298"/>
      <c r="F23" s="293"/>
      <c r="G23" s="252"/>
      <c r="H23" s="227" t="s">
        <v>283</v>
      </c>
      <c r="I23" s="274"/>
    </row>
    <row r="24" spans="1:9" ht="31.5" thickBot="1" x14ac:dyDescent="0.4">
      <c r="A24" s="345"/>
      <c r="B24" s="308"/>
      <c r="C24" s="153" t="s">
        <v>51</v>
      </c>
      <c r="D24" s="158" t="s">
        <v>406</v>
      </c>
      <c r="E24" s="299"/>
      <c r="F24" s="176" t="s">
        <v>407</v>
      </c>
      <c r="G24" s="251" t="s">
        <v>432</v>
      </c>
      <c r="H24" s="228" t="s">
        <v>408</v>
      </c>
      <c r="I24" s="275"/>
    </row>
    <row r="25" spans="1:9" ht="19.5" customHeight="1" x14ac:dyDescent="0.35">
      <c r="A25" s="345"/>
      <c r="B25" s="306" t="s">
        <v>19</v>
      </c>
      <c r="C25" s="288" t="s">
        <v>21</v>
      </c>
      <c r="D25" s="288" t="s">
        <v>48</v>
      </c>
      <c r="E25" s="297">
        <v>0.15</v>
      </c>
      <c r="F25" s="333" t="s">
        <v>20</v>
      </c>
      <c r="G25" s="233"/>
      <c r="H25" s="11" t="s">
        <v>277</v>
      </c>
      <c r="I25" s="273" t="s">
        <v>376</v>
      </c>
    </row>
    <row r="26" spans="1:9" ht="19" customHeight="1" x14ac:dyDescent="0.35">
      <c r="A26" s="345"/>
      <c r="B26" s="307"/>
      <c r="C26" s="289"/>
      <c r="D26" s="289"/>
      <c r="E26" s="298"/>
      <c r="F26" s="334"/>
      <c r="G26" s="234">
        <v>2495</v>
      </c>
      <c r="H26" s="4" t="s">
        <v>49</v>
      </c>
      <c r="I26" s="274"/>
    </row>
    <row r="27" spans="1:9" ht="16.5" customHeight="1" x14ac:dyDescent="0.35">
      <c r="A27" s="345"/>
      <c r="B27" s="307"/>
      <c r="C27" s="289"/>
      <c r="D27" s="290"/>
      <c r="E27" s="298"/>
      <c r="F27" s="335"/>
      <c r="G27" s="235"/>
      <c r="H27" s="6" t="s">
        <v>50</v>
      </c>
      <c r="I27" s="274"/>
    </row>
    <row r="28" spans="1:9" ht="22" customHeight="1" x14ac:dyDescent="0.35">
      <c r="A28" s="345"/>
      <c r="B28" s="307"/>
      <c r="C28" s="289"/>
      <c r="D28" s="134" t="s">
        <v>278</v>
      </c>
      <c r="E28" s="342"/>
      <c r="F28" s="8">
        <v>0.95</v>
      </c>
      <c r="G28" s="8">
        <v>0.95</v>
      </c>
      <c r="H28" s="4" t="s">
        <v>277</v>
      </c>
      <c r="I28" s="274"/>
    </row>
    <row r="29" spans="1:9" ht="14.5" customHeight="1" x14ac:dyDescent="0.35">
      <c r="A29" s="345"/>
      <c r="B29" s="307"/>
      <c r="C29" s="329" t="s">
        <v>374</v>
      </c>
      <c r="D29" s="337" t="s">
        <v>356</v>
      </c>
      <c r="E29" s="295">
        <v>0.05</v>
      </c>
      <c r="F29" s="331" t="s">
        <v>375</v>
      </c>
      <c r="G29" s="331">
        <v>0.9</v>
      </c>
      <c r="H29" s="140" t="s">
        <v>279</v>
      </c>
      <c r="I29" s="274"/>
    </row>
    <row r="30" spans="1:9" ht="14.5" customHeight="1" x14ac:dyDescent="0.35">
      <c r="A30" s="345"/>
      <c r="B30" s="307"/>
      <c r="C30" s="289"/>
      <c r="D30" s="338"/>
      <c r="E30" s="343"/>
      <c r="F30" s="340"/>
      <c r="G30" s="340"/>
      <c r="H30" s="141" t="s">
        <v>316</v>
      </c>
      <c r="I30" s="274"/>
    </row>
    <row r="31" spans="1:9" ht="14.5" customHeight="1" x14ac:dyDescent="0.35">
      <c r="A31" s="345"/>
      <c r="B31" s="307"/>
      <c r="C31" s="289"/>
      <c r="D31" s="339"/>
      <c r="E31" s="343"/>
      <c r="F31" s="341"/>
      <c r="G31" s="341"/>
      <c r="H31" s="142" t="s">
        <v>319</v>
      </c>
      <c r="I31" s="274"/>
    </row>
    <row r="32" spans="1:9" ht="14.5" customHeight="1" x14ac:dyDescent="0.35">
      <c r="A32" s="345"/>
      <c r="B32" s="307"/>
      <c r="C32" s="289"/>
      <c r="D32" s="337" t="s">
        <v>310</v>
      </c>
      <c r="E32" s="343"/>
      <c r="F32" s="331" t="s">
        <v>375</v>
      </c>
      <c r="G32" s="401">
        <v>0.81</v>
      </c>
      <c r="H32" s="137" t="s">
        <v>315</v>
      </c>
      <c r="I32" s="274"/>
    </row>
    <row r="33" spans="1:9" ht="41.5" customHeight="1" x14ac:dyDescent="0.35">
      <c r="A33" s="345"/>
      <c r="B33" s="307"/>
      <c r="C33" s="289"/>
      <c r="D33" s="338"/>
      <c r="E33" s="343"/>
      <c r="F33" s="340"/>
      <c r="G33" s="402"/>
      <c r="H33" s="137" t="s">
        <v>320</v>
      </c>
      <c r="I33" s="274"/>
    </row>
    <row r="34" spans="1:9" ht="14.5" customHeight="1" x14ac:dyDescent="0.35">
      <c r="A34" s="345"/>
      <c r="B34" s="307"/>
      <c r="C34" s="289"/>
      <c r="D34" s="339"/>
      <c r="E34" s="343"/>
      <c r="F34" s="341"/>
      <c r="G34" s="403"/>
      <c r="H34" s="142" t="s">
        <v>317</v>
      </c>
      <c r="I34" s="274"/>
    </row>
    <row r="35" spans="1:9" ht="14.5" customHeight="1" x14ac:dyDescent="0.35">
      <c r="A35" s="345"/>
      <c r="B35" s="307"/>
      <c r="C35" s="289"/>
      <c r="D35" s="338" t="s">
        <v>311</v>
      </c>
      <c r="E35" s="343"/>
      <c r="F35" s="340" t="s">
        <v>375</v>
      </c>
      <c r="G35" s="401">
        <v>0.95</v>
      </c>
      <c r="H35" s="137" t="s">
        <v>323</v>
      </c>
      <c r="I35" s="274"/>
    </row>
    <row r="36" spans="1:9" ht="34" customHeight="1" x14ac:dyDescent="0.35">
      <c r="A36" s="345"/>
      <c r="B36" s="307"/>
      <c r="C36" s="290"/>
      <c r="D36" s="339"/>
      <c r="E36" s="296"/>
      <c r="F36" s="341"/>
      <c r="G36" s="403"/>
      <c r="H36" s="142" t="s">
        <v>318</v>
      </c>
      <c r="I36" s="274"/>
    </row>
    <row r="37" spans="1:9" ht="14.5" customHeight="1" x14ac:dyDescent="0.35">
      <c r="A37" s="345"/>
      <c r="B37" s="307"/>
      <c r="C37" s="289" t="s">
        <v>45</v>
      </c>
      <c r="D37" s="329" t="s">
        <v>271</v>
      </c>
      <c r="E37" s="295">
        <v>2.5000000000000001E-2</v>
      </c>
      <c r="F37" s="331">
        <v>1</v>
      </c>
      <c r="G37" s="331"/>
      <c r="H37" s="143" t="s">
        <v>276</v>
      </c>
      <c r="I37" s="274"/>
    </row>
    <row r="38" spans="1:9" ht="15" customHeight="1" thickBot="1" x14ac:dyDescent="0.4">
      <c r="A38" s="345"/>
      <c r="B38" s="308"/>
      <c r="C38" s="330"/>
      <c r="D38" s="330"/>
      <c r="E38" s="296"/>
      <c r="F38" s="332"/>
      <c r="G38" s="332"/>
      <c r="H38" s="156" t="s">
        <v>275</v>
      </c>
      <c r="I38" s="275"/>
    </row>
    <row r="39" spans="1:9" ht="29" x14ac:dyDescent="0.35">
      <c r="A39" s="345"/>
      <c r="B39" s="306" t="s">
        <v>22</v>
      </c>
      <c r="C39" s="288" t="s">
        <v>23</v>
      </c>
      <c r="D39" s="159" t="s">
        <v>24</v>
      </c>
      <c r="E39" s="297">
        <v>0.05</v>
      </c>
      <c r="F39" s="160" t="s">
        <v>25</v>
      </c>
      <c r="G39" s="253">
        <v>4.7E-2</v>
      </c>
      <c r="H39" s="161" t="s">
        <v>284</v>
      </c>
      <c r="I39" s="273" t="s">
        <v>376</v>
      </c>
    </row>
    <row r="40" spans="1:9" ht="29" x14ac:dyDescent="0.35">
      <c r="A40" s="345"/>
      <c r="B40" s="307"/>
      <c r="C40" s="289"/>
      <c r="D40" s="135" t="s">
        <v>26</v>
      </c>
      <c r="E40" s="298"/>
      <c r="F40" s="3" t="s">
        <v>27</v>
      </c>
      <c r="G40" s="236">
        <v>2.0000000000000001E-4</v>
      </c>
      <c r="H40" s="144" t="s">
        <v>286</v>
      </c>
      <c r="I40" s="274"/>
    </row>
    <row r="41" spans="1:9" ht="14.5" customHeight="1" x14ac:dyDescent="0.35">
      <c r="A41" s="345"/>
      <c r="B41" s="307"/>
      <c r="C41" s="289"/>
      <c r="D41" s="323" t="s">
        <v>58</v>
      </c>
      <c r="E41" s="298"/>
      <c r="F41" s="309" t="s">
        <v>59</v>
      </c>
      <c r="G41" s="309">
        <v>0</v>
      </c>
      <c r="H41" s="7" t="s">
        <v>53</v>
      </c>
      <c r="I41" s="274"/>
    </row>
    <row r="42" spans="1:9" ht="14.5" customHeight="1" x14ac:dyDescent="0.35">
      <c r="A42" s="345"/>
      <c r="B42" s="307"/>
      <c r="C42" s="289"/>
      <c r="D42" s="324"/>
      <c r="E42" s="298"/>
      <c r="F42" s="310"/>
      <c r="G42" s="310"/>
      <c r="H42" s="7" t="s">
        <v>54</v>
      </c>
      <c r="I42" s="274"/>
    </row>
    <row r="43" spans="1:9" ht="14.5" customHeight="1" thickBot="1" x14ac:dyDescent="0.4">
      <c r="A43" s="345"/>
      <c r="B43" s="308"/>
      <c r="C43" s="330"/>
      <c r="D43" s="325"/>
      <c r="E43" s="299"/>
      <c r="F43" s="311"/>
      <c r="G43" s="311"/>
      <c r="H43" s="162" t="s">
        <v>61</v>
      </c>
      <c r="I43" s="275"/>
    </row>
    <row r="44" spans="1:9" ht="31.5" thickBot="1" x14ac:dyDescent="0.4">
      <c r="A44" s="345"/>
      <c r="B44" s="152" t="s">
        <v>28</v>
      </c>
      <c r="C44" s="157" t="s">
        <v>29</v>
      </c>
      <c r="D44" s="158" t="s">
        <v>60</v>
      </c>
      <c r="E44" s="239">
        <v>0.05</v>
      </c>
      <c r="F44" s="172" t="s">
        <v>373</v>
      </c>
      <c r="G44" s="254" t="s">
        <v>433</v>
      </c>
      <c r="H44" s="145" t="s">
        <v>272</v>
      </c>
      <c r="I44" s="155" t="s">
        <v>376</v>
      </c>
    </row>
    <row r="45" spans="1:9" ht="31.5" customHeight="1" x14ac:dyDescent="0.35">
      <c r="A45" s="345"/>
      <c r="B45" s="174"/>
      <c r="C45" s="390" t="s">
        <v>357</v>
      </c>
      <c r="D45" s="240" t="s">
        <v>402</v>
      </c>
      <c r="E45" s="297">
        <v>0.1</v>
      </c>
      <c r="F45" s="245">
        <v>44986</v>
      </c>
      <c r="G45" s="245"/>
      <c r="H45" s="241" t="s">
        <v>410</v>
      </c>
      <c r="I45" s="273" t="s">
        <v>376</v>
      </c>
    </row>
    <row r="46" spans="1:9" ht="46.5" x14ac:dyDescent="0.35">
      <c r="A46" s="345"/>
      <c r="B46" s="174" t="s">
        <v>43</v>
      </c>
      <c r="C46" s="391"/>
      <c r="D46" s="242" t="s">
        <v>409</v>
      </c>
      <c r="E46" s="298"/>
      <c r="F46" s="246">
        <v>45261</v>
      </c>
      <c r="G46" s="246"/>
      <c r="H46" s="243" t="s">
        <v>368</v>
      </c>
      <c r="I46" s="274"/>
    </row>
    <row r="47" spans="1:9" ht="31.5" thickBot="1" x14ac:dyDescent="0.4">
      <c r="A47" s="345"/>
      <c r="B47" s="174"/>
      <c r="C47" s="391"/>
      <c r="D47" s="242" t="s">
        <v>403</v>
      </c>
      <c r="E47" s="299"/>
      <c r="F47" s="246">
        <v>45261</v>
      </c>
      <c r="G47" s="255"/>
      <c r="H47" s="244" t="s">
        <v>369</v>
      </c>
      <c r="I47" s="275"/>
    </row>
    <row r="48" spans="1:9" ht="14.5" customHeight="1" x14ac:dyDescent="0.35">
      <c r="A48" s="375" t="s">
        <v>30</v>
      </c>
      <c r="B48" s="312" t="s">
        <v>31</v>
      </c>
      <c r="C48" s="322" t="s">
        <v>34</v>
      </c>
      <c r="D48" s="185" t="s">
        <v>32</v>
      </c>
      <c r="E48" s="300">
        <v>0.05</v>
      </c>
      <c r="F48" s="186" t="s">
        <v>33</v>
      </c>
      <c r="G48" s="270">
        <v>0</v>
      </c>
      <c r="H48" s="187" t="s">
        <v>421</v>
      </c>
      <c r="I48" s="315" t="s">
        <v>376</v>
      </c>
    </row>
    <row r="49" spans="1:9" ht="14.5" customHeight="1" x14ac:dyDescent="0.35">
      <c r="A49" s="376"/>
      <c r="B49" s="313"/>
      <c r="C49" s="278"/>
      <c r="D49" s="188" t="s">
        <v>35</v>
      </c>
      <c r="E49" s="301"/>
      <c r="F49" s="189">
        <v>0.75</v>
      </c>
      <c r="G49" s="189"/>
      <c r="H49" s="190" t="s">
        <v>422</v>
      </c>
      <c r="I49" s="316"/>
    </row>
    <row r="50" spans="1:9" ht="29" customHeight="1" x14ac:dyDescent="0.35">
      <c r="A50" s="376"/>
      <c r="B50" s="313"/>
      <c r="C50" s="276" t="s">
        <v>62</v>
      </c>
      <c r="D50" s="276" t="s">
        <v>285</v>
      </c>
      <c r="E50" s="301"/>
      <c r="F50" s="320" t="s">
        <v>36</v>
      </c>
      <c r="G50" s="392">
        <v>3</v>
      </c>
      <c r="H50" s="147" t="s">
        <v>424</v>
      </c>
      <c r="I50" s="316"/>
    </row>
    <row r="51" spans="1:9" ht="28.5" customHeight="1" x14ac:dyDescent="0.35">
      <c r="A51" s="376"/>
      <c r="B51" s="313"/>
      <c r="C51" s="278"/>
      <c r="D51" s="278"/>
      <c r="E51" s="301"/>
      <c r="F51" s="321"/>
      <c r="G51" s="393"/>
      <c r="H51" s="147" t="s">
        <v>423</v>
      </c>
      <c r="I51" s="316"/>
    </row>
    <row r="52" spans="1:9" ht="21.5" customHeight="1" x14ac:dyDescent="0.35">
      <c r="A52" s="376"/>
      <c r="B52" s="313"/>
      <c r="C52" s="276" t="s">
        <v>63</v>
      </c>
      <c r="D52" s="276" t="s">
        <v>411</v>
      </c>
      <c r="E52" s="301"/>
      <c r="F52" s="320" t="s">
        <v>412</v>
      </c>
      <c r="G52" s="320">
        <v>1</v>
      </c>
      <c r="H52" s="191" t="s">
        <v>413</v>
      </c>
      <c r="I52" s="316"/>
    </row>
    <row r="53" spans="1:9" ht="24" customHeight="1" x14ac:dyDescent="0.35">
      <c r="A53" s="376"/>
      <c r="B53" s="313"/>
      <c r="C53" s="277"/>
      <c r="D53" s="278"/>
      <c r="E53" s="301"/>
      <c r="F53" s="321"/>
      <c r="G53" s="321"/>
      <c r="H53" s="191" t="s">
        <v>414</v>
      </c>
      <c r="I53" s="316"/>
    </row>
    <row r="54" spans="1:9" ht="34" customHeight="1" x14ac:dyDescent="0.35">
      <c r="A54" s="376"/>
      <c r="B54" s="313"/>
      <c r="C54" s="277"/>
      <c r="D54" s="276" t="s">
        <v>415</v>
      </c>
      <c r="E54" s="301"/>
      <c r="F54" s="189" t="s">
        <v>416</v>
      </c>
      <c r="G54" s="271">
        <v>0</v>
      </c>
      <c r="H54" s="231" t="s">
        <v>419</v>
      </c>
      <c r="I54" s="316"/>
    </row>
    <row r="55" spans="1:9" ht="28" customHeight="1" x14ac:dyDescent="0.35">
      <c r="A55" s="376"/>
      <c r="B55" s="313"/>
      <c r="C55" s="278"/>
      <c r="D55" s="278"/>
      <c r="E55" s="301"/>
      <c r="F55" s="229" t="s">
        <v>417</v>
      </c>
      <c r="G55" s="229"/>
      <c r="H55" s="231" t="s">
        <v>420</v>
      </c>
      <c r="I55" s="316"/>
    </row>
    <row r="56" spans="1:9" ht="47" thickBot="1" x14ac:dyDescent="0.4">
      <c r="A56" s="376"/>
      <c r="B56" s="314"/>
      <c r="C56" s="192" t="s">
        <v>64</v>
      </c>
      <c r="D56" s="193" t="s">
        <v>37</v>
      </c>
      <c r="E56" s="302"/>
      <c r="F56" s="194" t="s">
        <v>418</v>
      </c>
      <c r="G56" s="194"/>
      <c r="H56" s="230" t="s">
        <v>425</v>
      </c>
      <c r="I56" s="317"/>
    </row>
    <row r="57" spans="1:9" ht="29" customHeight="1" x14ac:dyDescent="0.35">
      <c r="A57" s="376"/>
      <c r="B57" s="303" t="s">
        <v>38</v>
      </c>
      <c r="C57" s="318" t="s">
        <v>39</v>
      </c>
      <c r="D57" s="195" t="s">
        <v>268</v>
      </c>
      <c r="E57" s="326">
        <v>0.05</v>
      </c>
      <c r="F57" s="196">
        <v>0</v>
      </c>
      <c r="G57" s="196"/>
      <c r="H57" s="197" t="s">
        <v>280</v>
      </c>
      <c r="I57" s="315" t="s">
        <v>376</v>
      </c>
    </row>
    <row r="58" spans="1:9" ht="20.5" customHeight="1" x14ac:dyDescent="0.35">
      <c r="A58" s="376"/>
      <c r="B58" s="304"/>
      <c r="C58" s="319"/>
      <c r="D58" s="178" t="s">
        <v>269</v>
      </c>
      <c r="E58" s="327"/>
      <c r="F58" s="198" t="s">
        <v>371</v>
      </c>
      <c r="G58" s="198"/>
      <c r="H58" s="199" t="s">
        <v>65</v>
      </c>
      <c r="I58" s="316"/>
    </row>
    <row r="59" spans="1:9" ht="31.5" thickBot="1" x14ac:dyDescent="0.4">
      <c r="A59" s="376"/>
      <c r="B59" s="305"/>
      <c r="C59" s="201" t="s">
        <v>42</v>
      </c>
      <c r="D59" s="175" t="s">
        <v>40</v>
      </c>
      <c r="E59" s="328"/>
      <c r="F59" s="202" t="s">
        <v>41</v>
      </c>
      <c r="G59" s="202"/>
      <c r="H59" s="151" t="s">
        <v>281</v>
      </c>
      <c r="I59" s="317"/>
    </row>
    <row r="60" spans="1:9" ht="62.5" thickBot="1" x14ac:dyDescent="0.4">
      <c r="A60" s="377"/>
      <c r="B60" s="203" t="s">
        <v>43</v>
      </c>
      <c r="C60" s="204" t="s">
        <v>44</v>
      </c>
      <c r="D60" s="205" t="s">
        <v>324</v>
      </c>
      <c r="E60" s="232">
        <v>0.05</v>
      </c>
      <c r="F60" s="206" t="s">
        <v>325</v>
      </c>
      <c r="G60" s="272">
        <v>1</v>
      </c>
      <c r="H60" s="207" t="s">
        <v>326</v>
      </c>
      <c r="I60" s="208" t="s">
        <v>376</v>
      </c>
    </row>
    <row r="61" spans="1:9" ht="15" thickTop="1" x14ac:dyDescent="0.35"/>
  </sheetData>
  <mergeCells count="92">
    <mergeCell ref="G50:G51"/>
    <mergeCell ref="G52:G53"/>
    <mergeCell ref="E6:E8"/>
    <mergeCell ref="E9:E10"/>
    <mergeCell ref="E11:E14"/>
    <mergeCell ref="E15:E16"/>
    <mergeCell ref="E18:E24"/>
    <mergeCell ref="G41:G43"/>
    <mergeCell ref="G29:G31"/>
    <mergeCell ref="G32:G34"/>
    <mergeCell ref="G35:G36"/>
    <mergeCell ref="G37:G38"/>
    <mergeCell ref="A48:A60"/>
    <mergeCell ref="C6:C8"/>
    <mergeCell ref="C39:C43"/>
    <mergeCell ref="D29:D31"/>
    <mergeCell ref="A6:A10"/>
    <mergeCell ref="C9:C10"/>
    <mergeCell ref="B9:B10"/>
    <mergeCell ref="B18:B24"/>
    <mergeCell ref="C37:C38"/>
    <mergeCell ref="B25:B38"/>
    <mergeCell ref="C25:C28"/>
    <mergeCell ref="B6:B8"/>
    <mergeCell ref="A11:A17"/>
    <mergeCell ref="C45:C47"/>
    <mergeCell ref="B11:B16"/>
    <mergeCell ref="C29:C36"/>
    <mergeCell ref="A18:A47"/>
    <mergeCell ref="I1:I2"/>
    <mergeCell ref="A4:A5"/>
    <mergeCell ref="D4:D5"/>
    <mergeCell ref="F4:F5"/>
    <mergeCell ref="H4:H5"/>
    <mergeCell ref="I4:I5"/>
    <mergeCell ref="B4:C5"/>
    <mergeCell ref="B1:H1"/>
    <mergeCell ref="B2:H2"/>
    <mergeCell ref="A1:A2"/>
    <mergeCell ref="I9:I10"/>
    <mergeCell ref="I11:I16"/>
    <mergeCell ref="D7:D8"/>
    <mergeCell ref="F7:F8"/>
    <mergeCell ref="E4:E5"/>
    <mergeCell ref="I25:I38"/>
    <mergeCell ref="I18:I24"/>
    <mergeCell ref="D37:D38"/>
    <mergeCell ref="F37:F38"/>
    <mergeCell ref="F15:F16"/>
    <mergeCell ref="F25:F27"/>
    <mergeCell ref="F21:F23"/>
    <mergeCell ref="D21:D23"/>
    <mergeCell ref="D32:D34"/>
    <mergeCell ref="D35:D36"/>
    <mergeCell ref="F35:F36"/>
    <mergeCell ref="F32:F34"/>
    <mergeCell ref="F29:F31"/>
    <mergeCell ref="E25:E28"/>
    <mergeCell ref="E29:E36"/>
    <mergeCell ref="G18:G20"/>
    <mergeCell ref="B57:B59"/>
    <mergeCell ref="B39:B43"/>
    <mergeCell ref="F41:F43"/>
    <mergeCell ref="B48:B56"/>
    <mergeCell ref="I48:I56"/>
    <mergeCell ref="C57:C58"/>
    <mergeCell ref="I57:I59"/>
    <mergeCell ref="F52:F53"/>
    <mergeCell ref="D52:D53"/>
    <mergeCell ref="C48:C49"/>
    <mergeCell ref="C50:C51"/>
    <mergeCell ref="D50:D51"/>
    <mergeCell ref="F50:F51"/>
    <mergeCell ref="I39:I43"/>
    <mergeCell ref="D41:D43"/>
    <mergeCell ref="E57:E59"/>
    <mergeCell ref="I45:I47"/>
    <mergeCell ref="C52:C55"/>
    <mergeCell ref="D54:D55"/>
    <mergeCell ref="D11:D14"/>
    <mergeCell ref="C11:C14"/>
    <mergeCell ref="F11:F14"/>
    <mergeCell ref="D18:D20"/>
    <mergeCell ref="F18:F20"/>
    <mergeCell ref="C18:C23"/>
    <mergeCell ref="C15:C16"/>
    <mergeCell ref="D15:D16"/>
    <mergeCell ref="D25:D27"/>
    <mergeCell ref="E37:E38"/>
    <mergeCell ref="E39:E43"/>
    <mergeCell ref="E45:E47"/>
    <mergeCell ref="E48:E56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V908"/>
  <sheetViews>
    <sheetView topLeftCell="A127" workbookViewId="0">
      <selection activeCell="C151" sqref="C150:C151"/>
    </sheetView>
  </sheetViews>
  <sheetFormatPr defaultColWidth="9.08984375" defaultRowHeight="13" x14ac:dyDescent="0.3"/>
  <cols>
    <col min="1" max="1" width="3.54296875" style="13" customWidth="1"/>
    <col min="2" max="2" width="8.90625" style="13" bestFit="1" customWidth="1"/>
    <col min="3" max="3" width="40.453125" style="13" customWidth="1"/>
    <col min="4" max="15" width="11.6328125" style="13" customWidth="1"/>
    <col min="16" max="16" width="15" style="13" customWidth="1"/>
    <col min="17" max="17" width="16.6328125" style="15" hidden="1" customWidth="1"/>
    <col min="18" max="18" width="9.54296875" style="16" hidden="1" customWidth="1"/>
    <col min="19" max="19" width="10" style="17" bestFit="1" customWidth="1"/>
    <col min="20" max="20" width="10" style="13" bestFit="1" customWidth="1"/>
    <col min="21" max="16384" width="9.08984375" style="13"/>
  </cols>
  <sheetData>
    <row r="1" spans="3:19" x14ac:dyDescent="0.3">
      <c r="C1" s="12" t="s">
        <v>66</v>
      </c>
      <c r="P1" s="14"/>
    </row>
    <row r="2" spans="3:19" x14ac:dyDescent="0.3">
      <c r="C2" s="12" t="s">
        <v>67</v>
      </c>
      <c r="P2" s="18"/>
    </row>
    <row r="3" spans="3:19" x14ac:dyDescent="0.3">
      <c r="C3" s="19"/>
      <c r="H3" s="18"/>
      <c r="L3" s="20"/>
      <c r="P3" s="18"/>
    </row>
    <row r="4" spans="3:19" ht="13.5" thickBot="1" x14ac:dyDescent="0.35">
      <c r="C4" s="21" t="s">
        <v>68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8"/>
    </row>
    <row r="5" spans="3:19" s="29" customFormat="1" ht="26.25" customHeight="1" thickBot="1" x14ac:dyDescent="0.4">
      <c r="C5" s="23" t="s">
        <v>69</v>
      </c>
      <c r="D5" s="24" t="s">
        <v>70</v>
      </c>
      <c r="E5" s="24" t="s">
        <v>71</v>
      </c>
      <c r="F5" s="24" t="s">
        <v>72</v>
      </c>
      <c r="G5" s="24" t="s">
        <v>73</v>
      </c>
      <c r="H5" s="24" t="s">
        <v>74</v>
      </c>
      <c r="I5" s="24" t="s">
        <v>75</v>
      </c>
      <c r="J5" s="24" t="s">
        <v>76</v>
      </c>
      <c r="K5" s="24" t="s">
        <v>77</v>
      </c>
      <c r="L5" s="24" t="s">
        <v>78</v>
      </c>
      <c r="M5" s="24" t="s">
        <v>79</v>
      </c>
      <c r="N5" s="24" t="s">
        <v>80</v>
      </c>
      <c r="O5" s="24" t="s">
        <v>81</v>
      </c>
      <c r="P5" s="25" t="s">
        <v>82</v>
      </c>
      <c r="Q5" s="26" t="s">
        <v>83</v>
      </c>
      <c r="R5" s="27" t="s">
        <v>84</v>
      </c>
      <c r="S5" s="28"/>
    </row>
    <row r="6" spans="3:19" x14ac:dyDescent="0.3"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1"/>
      <c r="R6" s="32"/>
    </row>
    <row r="7" spans="3:19" ht="13.5" customHeight="1" x14ac:dyDescent="0.3">
      <c r="C7" s="33" t="s">
        <v>85</v>
      </c>
      <c r="D7" s="33">
        <f>D101</f>
        <v>50961.164218390804</v>
      </c>
      <c r="E7" s="33">
        <f t="shared" ref="E7:O7" si="0">E101</f>
        <v>53572.904218390802</v>
      </c>
      <c r="F7" s="33">
        <f t="shared" si="0"/>
        <v>54956.569624521071</v>
      </c>
      <c r="G7" s="33">
        <f t="shared" si="0"/>
        <v>43595.647624521072</v>
      </c>
      <c r="H7" s="33">
        <f t="shared" si="0"/>
        <v>59067.63362452107</v>
      </c>
      <c r="I7" s="33">
        <f t="shared" si="0"/>
        <v>61020.913624521068</v>
      </c>
      <c r="J7" s="33">
        <f t="shared" si="0"/>
        <v>68758.814624521066</v>
      </c>
      <c r="K7" s="33">
        <f t="shared" si="0"/>
        <v>67145.662030651336</v>
      </c>
      <c r="L7" s="33">
        <f t="shared" si="0"/>
        <v>68539.099030651341</v>
      </c>
      <c r="M7" s="33">
        <f t="shared" si="0"/>
        <v>79333.478830651336</v>
      </c>
      <c r="N7" s="33">
        <f t="shared" si="0"/>
        <v>70035.506030651333</v>
      </c>
      <c r="O7" s="33">
        <f t="shared" si="0"/>
        <v>65190.76062452107</v>
      </c>
      <c r="P7" s="33">
        <f>SUM(D7:O7)</f>
        <v>742178.15410651348</v>
      </c>
      <c r="Q7" s="31"/>
      <c r="R7" s="32"/>
    </row>
    <row r="8" spans="3:19" ht="13.5" thickBot="1" x14ac:dyDescent="0.35">
      <c r="C8" s="34" t="s">
        <v>86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>
        <f>P61</f>
        <v>0</v>
      </c>
      <c r="Q8" s="35"/>
      <c r="R8" s="36"/>
    </row>
    <row r="9" spans="3:19" x14ac:dyDescent="0.3">
      <c r="C9" s="33" t="s">
        <v>87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7"/>
      <c r="Q9" s="31"/>
      <c r="R9" s="32"/>
    </row>
    <row r="10" spans="3:19" x14ac:dyDescent="0.3">
      <c r="C10" s="38" t="s">
        <v>88</v>
      </c>
      <c r="D10" s="33">
        <f>D104</f>
        <v>19341.65065045045</v>
      </c>
      <c r="E10" s="33">
        <f t="shared" ref="E10:O10" si="1">E104</f>
        <v>18504.292526126123</v>
      </c>
      <c r="F10" s="33">
        <f t="shared" si="1"/>
        <v>18442.34170810811</v>
      </c>
      <c r="G10" s="33">
        <f t="shared" si="1"/>
        <v>13023.172099099096</v>
      </c>
      <c r="H10" s="33">
        <f t="shared" si="1"/>
        <v>20577.960947747746</v>
      </c>
      <c r="I10" s="33">
        <f t="shared" si="1"/>
        <v>24343.778097297294</v>
      </c>
      <c r="J10" s="33">
        <f t="shared" si="1"/>
        <v>24141.979227027023</v>
      </c>
      <c r="K10" s="33">
        <f t="shared" si="1"/>
        <v>25532.47204504504</v>
      </c>
      <c r="L10" s="33">
        <f t="shared" si="1"/>
        <v>26200.549388288291</v>
      </c>
      <c r="M10" s="33">
        <f t="shared" si="1"/>
        <v>27578.97741477477</v>
      </c>
      <c r="N10" s="33">
        <f t="shared" si="1"/>
        <v>27077.590073873875</v>
      </c>
      <c r="O10" s="33">
        <f t="shared" si="1"/>
        <v>25586.795563063064</v>
      </c>
      <c r="P10" s="33">
        <f>SUM(D10:O10)</f>
        <v>270351.55974090088</v>
      </c>
      <c r="Q10" s="31"/>
      <c r="R10" s="32"/>
    </row>
    <row r="11" spans="3:19" x14ac:dyDescent="0.3">
      <c r="C11" s="38" t="s">
        <v>89</v>
      </c>
      <c r="D11" s="33">
        <f t="shared" ref="D11:O16" si="2">D105</f>
        <v>183.82974500000003</v>
      </c>
      <c r="E11" s="33">
        <f t="shared" si="2"/>
        <v>237.35108600000001</v>
      </c>
      <c r="F11" s="33">
        <f t="shared" si="2"/>
        <v>221.22274999999999</v>
      </c>
      <c r="G11" s="33">
        <f t="shared" si="2"/>
        <v>816.75874699999997</v>
      </c>
      <c r="H11" s="33">
        <f t="shared" si="2"/>
        <v>871.43005699999992</v>
      </c>
      <c r="I11" s="33">
        <f t="shared" si="2"/>
        <v>726.92238100000009</v>
      </c>
      <c r="J11" s="33">
        <f t="shared" si="2"/>
        <v>248.65001899999999</v>
      </c>
      <c r="K11" s="33">
        <f t="shared" si="2"/>
        <v>263.13183999999995</v>
      </c>
      <c r="L11" s="33">
        <f t="shared" si="2"/>
        <v>955.07694000000015</v>
      </c>
      <c r="M11" s="33">
        <f t="shared" si="2"/>
        <v>663.20895999999993</v>
      </c>
      <c r="N11" s="33">
        <f t="shared" si="2"/>
        <v>654.85316300000011</v>
      </c>
      <c r="O11" s="33">
        <f t="shared" si="2"/>
        <v>199.20456099999998</v>
      </c>
      <c r="P11" s="33">
        <f>SUM(D11:O11)</f>
        <v>6041.640249</v>
      </c>
      <c r="Q11" s="31"/>
      <c r="R11" s="32"/>
    </row>
    <row r="12" spans="3:19" x14ac:dyDescent="0.3">
      <c r="C12" s="38" t="s">
        <v>90</v>
      </c>
      <c r="D12" s="33">
        <f t="shared" si="2"/>
        <v>254.56200000000001</v>
      </c>
      <c r="E12" s="33">
        <f t="shared" si="2"/>
        <v>2659.2467999999999</v>
      </c>
      <c r="F12" s="33">
        <f t="shared" si="2"/>
        <v>2659.2467999999999</v>
      </c>
      <c r="G12" s="33">
        <f t="shared" si="2"/>
        <v>254.56200000000001</v>
      </c>
      <c r="H12" s="33">
        <f t="shared" si="2"/>
        <v>2659.2467999999999</v>
      </c>
      <c r="I12" s="33">
        <f t="shared" si="2"/>
        <v>254.56200000000001</v>
      </c>
      <c r="J12" s="33">
        <f t="shared" si="2"/>
        <v>2659.2467999999999</v>
      </c>
      <c r="K12" s="33">
        <f t="shared" si="2"/>
        <v>2659.2467999999999</v>
      </c>
      <c r="L12" s="33">
        <f t="shared" si="2"/>
        <v>2659.2467999999999</v>
      </c>
      <c r="M12" s="33">
        <f t="shared" si="2"/>
        <v>2659.2467999999999</v>
      </c>
      <c r="N12" s="33">
        <f t="shared" si="2"/>
        <v>2659.2467999999999</v>
      </c>
      <c r="O12" s="33">
        <f t="shared" si="2"/>
        <v>2659.2467999999999</v>
      </c>
      <c r="P12" s="33">
        <f t="shared" ref="P12:P16" si="3">SUM(D12:O12)</f>
        <v>24696.907200000001</v>
      </c>
      <c r="Q12" s="31"/>
      <c r="R12" s="32"/>
    </row>
    <row r="13" spans="3:19" x14ac:dyDescent="0.3">
      <c r="C13" s="38" t="s">
        <v>91</v>
      </c>
      <c r="D13" s="33">
        <f t="shared" si="2"/>
        <v>128.40486486486486</v>
      </c>
      <c r="E13" s="33">
        <f t="shared" si="2"/>
        <v>139.54486486486485</v>
      </c>
      <c r="F13" s="33">
        <f t="shared" si="2"/>
        <v>106.99297297297296</v>
      </c>
      <c r="G13" s="33">
        <f t="shared" si="2"/>
        <v>145.13999999999999</v>
      </c>
      <c r="H13" s="33">
        <f t="shared" si="2"/>
        <v>121.78108108108106</v>
      </c>
      <c r="I13" s="33">
        <f t="shared" si="2"/>
        <v>130.52810810810809</v>
      </c>
      <c r="J13" s="33">
        <f t="shared" si="2"/>
        <v>109.64810810810809</v>
      </c>
      <c r="K13" s="33">
        <f t="shared" si="2"/>
        <v>120.53675675675674</v>
      </c>
      <c r="L13" s="33">
        <f t="shared" si="2"/>
        <v>123.60324324324323</v>
      </c>
      <c r="M13" s="33">
        <f t="shared" si="2"/>
        <v>124.61891891891891</v>
      </c>
      <c r="N13" s="33">
        <f t="shared" si="2"/>
        <v>124.61891891891891</v>
      </c>
      <c r="O13" s="33">
        <f t="shared" si="2"/>
        <v>124.61891891891891</v>
      </c>
      <c r="P13" s="33">
        <f t="shared" si="3"/>
        <v>1500.0367567567569</v>
      </c>
      <c r="Q13" s="31"/>
      <c r="R13" s="32"/>
    </row>
    <row r="14" spans="3:19" x14ac:dyDescent="0.3">
      <c r="C14" s="38" t="s">
        <v>92</v>
      </c>
      <c r="D14" s="33">
        <f t="shared" si="2"/>
        <v>75.619</v>
      </c>
      <c r="E14" s="33">
        <f t="shared" si="2"/>
        <v>75.975999999999999</v>
      </c>
      <c r="F14" s="33">
        <f t="shared" si="2"/>
        <v>72.436000000000007</v>
      </c>
      <c r="G14" s="33">
        <f t="shared" si="2"/>
        <v>51.563000000000002</v>
      </c>
      <c r="H14" s="33">
        <f t="shared" si="2"/>
        <v>51.563000000000002</v>
      </c>
      <c r="I14" s="33">
        <f t="shared" si="2"/>
        <v>73.962999999999994</v>
      </c>
      <c r="J14" s="33">
        <f t="shared" si="2"/>
        <v>72.896000000000001</v>
      </c>
      <c r="K14" s="33">
        <f t="shared" si="2"/>
        <v>74.911000000000001</v>
      </c>
      <c r="L14" s="33">
        <f t="shared" si="2"/>
        <v>74.989000000000004</v>
      </c>
      <c r="M14" s="33">
        <f t="shared" si="2"/>
        <v>74.540000000000006</v>
      </c>
      <c r="N14" s="33">
        <f t="shared" si="2"/>
        <v>72.564999999999998</v>
      </c>
      <c r="O14" s="33">
        <f t="shared" si="2"/>
        <v>69.064999999999998</v>
      </c>
      <c r="P14" s="33">
        <f t="shared" si="3"/>
        <v>840.08600000000001</v>
      </c>
      <c r="Q14" s="31"/>
      <c r="R14" s="32"/>
    </row>
    <row r="15" spans="3:19" x14ac:dyDescent="0.3">
      <c r="C15" s="38" t="s">
        <v>93</v>
      </c>
      <c r="D15" s="33">
        <f t="shared" si="2"/>
        <v>1500</v>
      </c>
      <c r="E15" s="33">
        <f t="shared" si="2"/>
        <v>1500</v>
      </c>
      <c r="F15" s="33">
        <f t="shared" si="2"/>
        <v>2000</v>
      </c>
      <c r="G15" s="33">
        <f t="shared" si="2"/>
        <v>7500</v>
      </c>
      <c r="H15" s="33">
        <f t="shared" si="2"/>
        <v>2000</v>
      </c>
      <c r="I15" s="33">
        <f t="shared" si="2"/>
        <v>2000</v>
      </c>
      <c r="J15" s="33">
        <f t="shared" si="2"/>
        <v>7500</v>
      </c>
      <c r="K15" s="33">
        <f t="shared" si="2"/>
        <v>2500</v>
      </c>
      <c r="L15" s="33">
        <f t="shared" si="2"/>
        <v>2500</v>
      </c>
      <c r="M15" s="33">
        <f t="shared" si="2"/>
        <v>8000</v>
      </c>
      <c r="N15" s="33">
        <f t="shared" si="2"/>
        <v>2500</v>
      </c>
      <c r="O15" s="33">
        <f t="shared" si="2"/>
        <v>2000</v>
      </c>
      <c r="P15" s="33">
        <f t="shared" si="3"/>
        <v>41500</v>
      </c>
      <c r="Q15" s="31"/>
      <c r="R15" s="32"/>
    </row>
    <row r="16" spans="3:19" x14ac:dyDescent="0.3">
      <c r="C16" s="38" t="s">
        <v>94</v>
      </c>
      <c r="D16" s="33">
        <f t="shared" si="2"/>
        <v>269.17734000000002</v>
      </c>
      <c r="E16" s="33">
        <f t="shared" si="2"/>
        <v>735.80692500000009</v>
      </c>
      <c r="F16" s="33">
        <f t="shared" si="2"/>
        <v>260.49420000000003</v>
      </c>
      <c r="G16" s="33">
        <f t="shared" si="2"/>
        <v>599.30989999999997</v>
      </c>
      <c r="H16" s="33">
        <f t="shared" si="2"/>
        <v>387.61986250000001</v>
      </c>
      <c r="I16" s="33">
        <f t="shared" si="2"/>
        <v>666.55680000000007</v>
      </c>
      <c r="J16" s="33">
        <f t="shared" si="2"/>
        <v>408.70342499999998</v>
      </c>
      <c r="K16" s="33">
        <f t="shared" si="2"/>
        <v>666.55680000000007</v>
      </c>
      <c r="L16" s="33">
        <f t="shared" si="2"/>
        <v>440.14215000000002</v>
      </c>
      <c r="M16" s="33">
        <f t="shared" si="2"/>
        <v>722.47980000000007</v>
      </c>
      <c r="N16" s="33">
        <f t="shared" si="2"/>
        <v>238.78635</v>
      </c>
      <c r="O16" s="33">
        <f t="shared" si="2"/>
        <v>607.2020500000001</v>
      </c>
      <c r="P16" s="33">
        <f t="shared" si="3"/>
        <v>6002.8356025000003</v>
      </c>
      <c r="Q16" s="31"/>
      <c r="R16" s="32"/>
    </row>
    <row r="17" spans="1:18" ht="13.5" thickBot="1" x14ac:dyDescent="0.35">
      <c r="C17" s="3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1"/>
      <c r="R17" s="32"/>
    </row>
    <row r="18" spans="1:18" ht="13.5" thickBot="1" x14ac:dyDescent="0.35">
      <c r="C18" s="39" t="s">
        <v>95</v>
      </c>
      <c r="D18" s="39">
        <f>SUM(D10:D17)</f>
        <v>21753.243600315313</v>
      </c>
      <c r="E18" s="39">
        <f t="shared" ref="E18:P18" si="4">SUM(E10:E17)</f>
        <v>23852.218201990985</v>
      </c>
      <c r="F18" s="39">
        <f t="shared" si="4"/>
        <v>23762.734431081088</v>
      </c>
      <c r="G18" s="39">
        <f t="shared" si="4"/>
        <v>22390.505746099094</v>
      </c>
      <c r="H18" s="39">
        <f t="shared" si="4"/>
        <v>26669.601748328827</v>
      </c>
      <c r="I18" s="39">
        <f t="shared" si="4"/>
        <v>28196.310386405403</v>
      </c>
      <c r="J18" s="39">
        <f t="shared" si="4"/>
        <v>35141.123579135136</v>
      </c>
      <c r="K18" s="39">
        <f t="shared" si="4"/>
        <v>31816.855241801793</v>
      </c>
      <c r="L18" s="39">
        <f t="shared" si="4"/>
        <v>32953.607521531536</v>
      </c>
      <c r="M18" s="39">
        <f t="shared" si="4"/>
        <v>39823.07189369369</v>
      </c>
      <c r="N18" s="39">
        <f t="shared" si="4"/>
        <v>33327.660305792793</v>
      </c>
      <c r="O18" s="39">
        <f t="shared" si="4"/>
        <v>31246.132892981979</v>
      </c>
      <c r="P18" s="39">
        <f t="shared" si="4"/>
        <v>350933.06554915768</v>
      </c>
      <c r="Q18" s="40">
        <f>[1]PL!$K$18</f>
        <v>290084.51755744859</v>
      </c>
      <c r="R18" s="41">
        <f>(P18-Q18)/Q18</f>
        <v>0.20976144643658406</v>
      </c>
    </row>
    <row r="19" spans="1:18" x14ac:dyDescent="0.3"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1"/>
      <c r="R19" s="32"/>
    </row>
    <row r="20" spans="1:18" x14ac:dyDescent="0.3">
      <c r="C20" s="33" t="s">
        <v>96</v>
      </c>
      <c r="D20" s="33">
        <f t="shared" ref="D20:P20" si="5">D153</f>
        <v>15202.771915216357</v>
      </c>
      <c r="E20" s="33">
        <f t="shared" si="5"/>
        <v>16984.833608803929</v>
      </c>
      <c r="F20" s="33">
        <f>F153</f>
        <v>17211.577862703154</v>
      </c>
      <c r="G20" s="33">
        <f t="shared" si="5"/>
        <v>16364.673910308446</v>
      </c>
      <c r="H20" s="33">
        <f t="shared" si="5"/>
        <v>18622.86584182319</v>
      </c>
      <c r="I20" s="33">
        <f t="shared" si="5"/>
        <v>18996.766600049457</v>
      </c>
      <c r="J20" s="33">
        <f t="shared" si="5"/>
        <v>24243.872448698967</v>
      </c>
      <c r="K20" s="33">
        <f t="shared" si="5"/>
        <v>21958.455779018481</v>
      </c>
      <c r="L20" s="33">
        <f t="shared" si="5"/>
        <v>22740.34165013002</v>
      </c>
      <c r="M20" s="33">
        <f t="shared" si="5"/>
        <v>26810.659537050145</v>
      </c>
      <c r="N20" s="33">
        <f t="shared" si="5"/>
        <v>22936.924570925006</v>
      </c>
      <c r="O20" s="33">
        <f t="shared" si="5"/>
        <v>21667.926989857831</v>
      </c>
      <c r="P20" s="33">
        <f t="shared" si="5"/>
        <v>243741.67071458494</v>
      </c>
      <c r="Q20" s="31">
        <f>[1]PL!$K$20</f>
        <v>240045.00653924199</v>
      </c>
      <c r="R20" s="32">
        <f>(P20-Q20)/Q20</f>
        <v>1.5399879500257887E-2</v>
      </c>
    </row>
    <row r="21" spans="1:18" ht="13.5" thickBot="1" x14ac:dyDescent="0.35"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1"/>
      <c r="R21" s="32"/>
    </row>
    <row r="22" spans="1:18" ht="13.5" thickBot="1" x14ac:dyDescent="0.35">
      <c r="C22" s="39" t="s">
        <v>97</v>
      </c>
      <c r="D22" s="39">
        <f>D18-D20-D19</f>
        <v>6550.4716850989553</v>
      </c>
      <c r="E22" s="39">
        <f t="shared" ref="E22:P22" si="6">E18-E20</f>
        <v>6867.3845931870565</v>
      </c>
      <c r="F22" s="39">
        <f t="shared" si="6"/>
        <v>6551.1565683779336</v>
      </c>
      <c r="G22" s="39">
        <f t="shared" si="6"/>
        <v>6025.8318357906483</v>
      </c>
      <c r="H22" s="39">
        <f t="shared" si="6"/>
        <v>8046.7359065056371</v>
      </c>
      <c r="I22" s="39">
        <f t="shared" si="6"/>
        <v>9199.5437863559455</v>
      </c>
      <c r="J22" s="39">
        <f t="shared" si="6"/>
        <v>10897.251130436169</v>
      </c>
      <c r="K22" s="39">
        <f t="shared" si="6"/>
        <v>9858.3994627833126</v>
      </c>
      <c r="L22" s="39">
        <f t="shared" si="6"/>
        <v>10213.265871401516</v>
      </c>
      <c r="M22" s="39">
        <f t="shared" si="6"/>
        <v>13012.412356643545</v>
      </c>
      <c r="N22" s="39">
        <f t="shared" si="6"/>
        <v>10390.735734867787</v>
      </c>
      <c r="O22" s="39">
        <f t="shared" si="6"/>
        <v>9578.2059031241479</v>
      </c>
      <c r="P22" s="39">
        <f t="shared" si="6"/>
        <v>107191.39483457274</v>
      </c>
      <c r="Q22" s="40">
        <f>Q18-Q20</f>
        <v>50039.511018206598</v>
      </c>
      <c r="R22" s="41">
        <f>(P22-Q22)/Q22</f>
        <v>1.1421351378827771</v>
      </c>
    </row>
    <row r="23" spans="1:18" x14ac:dyDescent="0.3">
      <c r="C23" s="42" t="s">
        <v>98</v>
      </c>
      <c r="D23" s="43">
        <f t="shared" ref="D23:F23" si="7">D22/D18</f>
        <v>0.30112620469179163</v>
      </c>
      <c r="E23" s="43">
        <f t="shared" si="7"/>
        <v>0.28791387597711243</v>
      </c>
      <c r="F23" s="43">
        <f t="shared" si="7"/>
        <v>0.2756903498365566</v>
      </c>
      <c r="G23" s="43">
        <f>G22/G18</f>
        <v>0.26912441836381823</v>
      </c>
      <c r="H23" s="43">
        <f t="shared" ref="H23:P23" si="8">H22/H18</f>
        <v>0.30171938757990124</v>
      </c>
      <c r="I23" s="43">
        <f t="shared" si="8"/>
        <v>0.32626764496078969</v>
      </c>
      <c r="J23" s="43">
        <f t="shared" si="8"/>
        <v>0.31009967868262345</v>
      </c>
      <c r="K23" s="43">
        <f t="shared" si="8"/>
        <v>0.30984833000814915</v>
      </c>
      <c r="L23" s="43">
        <f t="shared" si="8"/>
        <v>0.3099286129668285</v>
      </c>
      <c r="M23" s="43">
        <f t="shared" si="8"/>
        <v>0.32675561522174201</v>
      </c>
      <c r="N23" s="43">
        <f t="shared" si="8"/>
        <v>0.31177513331356593</v>
      </c>
      <c r="O23" s="43">
        <f t="shared" si="8"/>
        <v>0.30654052250016051</v>
      </c>
      <c r="P23" s="43">
        <f t="shared" si="8"/>
        <v>0.30544683689704266</v>
      </c>
      <c r="Q23" s="31"/>
      <c r="R23" s="32"/>
    </row>
    <row r="24" spans="1:18" x14ac:dyDescent="0.3">
      <c r="C24" s="44" t="s">
        <v>99</v>
      </c>
      <c r="D24" s="44">
        <f t="shared" ref="D24:O24" si="9">D177</f>
        <v>1715.4748951323875</v>
      </c>
      <c r="E24" s="44">
        <f t="shared" si="9"/>
        <v>1672.0336352407253</v>
      </c>
      <c r="F24" s="44">
        <f t="shared" si="9"/>
        <v>1774.3037896637161</v>
      </c>
      <c r="G24" s="44">
        <f t="shared" si="9"/>
        <v>1463.7988603577119</v>
      </c>
      <c r="H24" s="44">
        <f t="shared" si="9"/>
        <v>1801.2811409370361</v>
      </c>
      <c r="I24" s="44">
        <f t="shared" si="9"/>
        <v>1977.5117791738107</v>
      </c>
      <c r="J24" s="44">
        <f t="shared" si="9"/>
        <v>2078.5423600576755</v>
      </c>
      <c r="K24" s="44">
        <f t="shared" si="9"/>
        <v>2107.1783888771843</v>
      </c>
      <c r="L24" s="44">
        <f t="shared" si="9"/>
        <v>2196.044322598806</v>
      </c>
      <c r="M24" s="44">
        <f t="shared" si="9"/>
        <v>2442.5448656220487</v>
      </c>
      <c r="N24" s="44">
        <f t="shared" si="9"/>
        <v>2100.9097565530988</v>
      </c>
      <c r="O24" s="44">
        <f t="shared" si="9"/>
        <v>1955.6997849966933</v>
      </c>
      <c r="P24" s="44">
        <f>SUM(D24:O24)</f>
        <v>23285.32357921089</v>
      </c>
      <c r="Q24" s="31">
        <f>[1]PL!$K$24</f>
        <v>17292.71610411525</v>
      </c>
      <c r="R24" s="32">
        <f t="shared" ref="R24:R26" si="10">(P24-Q24)/Q24</f>
        <v>0.34653940069423467</v>
      </c>
    </row>
    <row r="25" spans="1:18" x14ac:dyDescent="0.3">
      <c r="A25" s="18"/>
      <c r="B25" s="18"/>
      <c r="C25" s="44" t="s">
        <v>100</v>
      </c>
      <c r="D25" s="44">
        <f t="shared" ref="D25:O25" si="11">D212</f>
        <v>1738.2032444729723</v>
      </c>
      <c r="E25" s="44">
        <f t="shared" si="11"/>
        <v>1861.3768444729719</v>
      </c>
      <c r="F25" s="44">
        <f t="shared" si="11"/>
        <v>1634.823244472972</v>
      </c>
      <c r="G25" s="44">
        <f t="shared" si="11"/>
        <v>1619.5498944729723</v>
      </c>
      <c r="H25" s="44">
        <f t="shared" si="11"/>
        <v>1719.8302554567558</v>
      </c>
      <c r="I25" s="44">
        <f t="shared" si="11"/>
        <v>1538.3438444729723</v>
      </c>
      <c r="J25" s="44">
        <f t="shared" si="11"/>
        <v>1591.9618928063055</v>
      </c>
      <c r="K25" s="44">
        <f t="shared" si="11"/>
        <v>1481.0951778063054</v>
      </c>
      <c r="L25" s="44">
        <f t="shared" si="11"/>
        <v>1545.0841778063054</v>
      </c>
      <c r="M25" s="44">
        <f t="shared" si="11"/>
        <v>1861.9201778063052</v>
      </c>
      <c r="N25" s="44">
        <f t="shared" si="11"/>
        <v>1527.4791778063054</v>
      </c>
      <c r="O25" s="44">
        <f t="shared" si="11"/>
        <v>1517.9211778063054</v>
      </c>
      <c r="P25" s="44">
        <f>SUM(D25:O25)</f>
        <v>19637.58910965945</v>
      </c>
      <c r="Q25" s="31">
        <f>[1]PL!$K$25</f>
        <v>28633.33147407728</v>
      </c>
      <c r="R25" s="32">
        <f t="shared" si="10"/>
        <v>-0.31417030088035613</v>
      </c>
    </row>
    <row r="26" spans="1:18" x14ac:dyDescent="0.3">
      <c r="A26" s="18"/>
      <c r="B26" s="18"/>
      <c r="C26" s="45" t="s">
        <v>101</v>
      </c>
      <c r="D26" s="46">
        <f t="shared" ref="D26:P26" si="12">SUM(D24:D25)</f>
        <v>3453.6781396053598</v>
      </c>
      <c r="E26" s="46">
        <f t="shared" si="12"/>
        <v>3533.410479713697</v>
      </c>
      <c r="F26" s="46">
        <f t="shared" si="12"/>
        <v>3409.1270341366881</v>
      </c>
      <c r="G26" s="46">
        <f t="shared" si="12"/>
        <v>3083.3487548306839</v>
      </c>
      <c r="H26" s="46">
        <f t="shared" si="12"/>
        <v>3521.1113963937919</v>
      </c>
      <c r="I26" s="46">
        <f t="shared" si="12"/>
        <v>3515.855623646783</v>
      </c>
      <c r="J26" s="46">
        <f t="shared" si="12"/>
        <v>3670.504252863981</v>
      </c>
      <c r="K26" s="46">
        <f t="shared" si="12"/>
        <v>3588.2735666834897</v>
      </c>
      <c r="L26" s="46">
        <f t="shared" si="12"/>
        <v>3741.1285004051115</v>
      </c>
      <c r="M26" s="46">
        <f t="shared" si="12"/>
        <v>4304.465043428354</v>
      </c>
      <c r="N26" s="46">
        <f t="shared" si="12"/>
        <v>3628.3889343594042</v>
      </c>
      <c r="O26" s="46">
        <f t="shared" si="12"/>
        <v>3473.6209628029987</v>
      </c>
      <c r="P26" s="46">
        <f t="shared" si="12"/>
        <v>42922.912688870339</v>
      </c>
      <c r="Q26" s="31">
        <f>SUM(Q24:Q25)</f>
        <v>45926.047578192534</v>
      </c>
      <c r="R26" s="32">
        <f t="shared" si="10"/>
        <v>-6.5390667119985299E-2</v>
      </c>
    </row>
    <row r="27" spans="1:18" ht="13.5" thickBot="1" x14ac:dyDescent="0.35">
      <c r="C27" s="45" t="s">
        <v>98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7">
        <f>P26/P18</f>
        <v>0.12231082477709078</v>
      </c>
      <c r="Q27" s="31"/>
      <c r="R27" s="32"/>
    </row>
    <row r="28" spans="1:18" ht="13.5" thickBot="1" x14ac:dyDescent="0.35">
      <c r="C28" s="39" t="s">
        <v>102</v>
      </c>
      <c r="D28" s="39">
        <f t="shared" ref="D28:P28" si="13">D22-D26</f>
        <v>3096.7935454935955</v>
      </c>
      <c r="E28" s="39">
        <f t="shared" si="13"/>
        <v>3333.9741134733595</v>
      </c>
      <c r="F28" s="39">
        <f t="shared" si="13"/>
        <v>3142.0295342412455</v>
      </c>
      <c r="G28" s="39">
        <f t="shared" si="13"/>
        <v>2942.4830809599644</v>
      </c>
      <c r="H28" s="39">
        <f t="shared" si="13"/>
        <v>4525.6245101118457</v>
      </c>
      <c r="I28" s="39">
        <f t="shared" si="13"/>
        <v>5683.6881627091625</v>
      </c>
      <c r="J28" s="39">
        <f t="shared" si="13"/>
        <v>7226.7468775721882</v>
      </c>
      <c r="K28" s="39">
        <f t="shared" si="13"/>
        <v>6270.125896099823</v>
      </c>
      <c r="L28" s="39">
        <f t="shared" si="13"/>
        <v>6472.1373709964046</v>
      </c>
      <c r="M28" s="39">
        <f t="shared" si="13"/>
        <v>8707.9473132151907</v>
      </c>
      <c r="N28" s="39">
        <f t="shared" si="13"/>
        <v>6762.3468005083832</v>
      </c>
      <c r="O28" s="39">
        <f t="shared" si="13"/>
        <v>6104.5849403211487</v>
      </c>
      <c r="P28" s="39">
        <f t="shared" si="13"/>
        <v>64268.482145702401</v>
      </c>
      <c r="Q28" s="40">
        <f>Q22-Q26</f>
        <v>4113.463440014064</v>
      </c>
      <c r="R28" s="41"/>
    </row>
    <row r="29" spans="1:18" x14ac:dyDescent="0.3">
      <c r="C29" s="48"/>
      <c r="D29" s="43">
        <f t="shared" ref="D29:P29" si="14">D28/D18</f>
        <v>0.14236008212810652</v>
      </c>
      <c r="E29" s="43">
        <f t="shared" si="14"/>
        <v>0.13977627092121214</v>
      </c>
      <c r="F29" s="43">
        <f t="shared" si="14"/>
        <v>0.13222508307510039</v>
      </c>
      <c r="G29" s="43">
        <f t="shared" si="14"/>
        <v>0.1314165528160349</v>
      </c>
      <c r="H29" s="43">
        <f t="shared" si="14"/>
        <v>0.16969224185717099</v>
      </c>
      <c r="I29" s="43">
        <f t="shared" si="14"/>
        <v>0.20157559924753493</v>
      </c>
      <c r="J29" s="43">
        <f t="shared" si="14"/>
        <v>0.20564928327627613</v>
      </c>
      <c r="K29" s="43">
        <f t="shared" si="14"/>
        <v>0.19706931588455581</v>
      </c>
      <c r="L29" s="43">
        <f t="shared" si="14"/>
        <v>0.19640148250134917</v>
      </c>
      <c r="M29" s="43">
        <f t="shared" si="14"/>
        <v>0.2186658863600667</v>
      </c>
      <c r="N29" s="43">
        <f t="shared" si="14"/>
        <v>0.20290493657405037</v>
      </c>
      <c r="O29" s="43">
        <f t="shared" si="14"/>
        <v>0.1953708947353375</v>
      </c>
      <c r="P29" s="43">
        <f t="shared" si="14"/>
        <v>0.18313601211995187</v>
      </c>
      <c r="Q29" s="31"/>
      <c r="R29" s="32"/>
    </row>
    <row r="30" spans="1:18" x14ac:dyDescent="0.3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1"/>
      <c r="R30" s="32"/>
    </row>
    <row r="31" spans="1:18" x14ac:dyDescent="0.3">
      <c r="C31" s="33" t="s">
        <v>103</v>
      </c>
      <c r="D31" s="33">
        <f t="shared" ref="D31:P34" si="15">D218</f>
        <v>0</v>
      </c>
      <c r="E31" s="33">
        <f t="shared" si="15"/>
        <v>0</v>
      </c>
      <c r="F31" s="33">
        <f t="shared" si="15"/>
        <v>0</v>
      </c>
      <c r="G31" s="33">
        <f t="shared" si="15"/>
        <v>0</v>
      </c>
      <c r="H31" s="33">
        <f t="shared" si="15"/>
        <v>0</v>
      </c>
      <c r="I31" s="33">
        <f t="shared" si="15"/>
        <v>0</v>
      </c>
      <c r="J31" s="33">
        <f t="shared" si="15"/>
        <v>0</v>
      </c>
      <c r="K31" s="33">
        <f t="shared" si="15"/>
        <v>0</v>
      </c>
      <c r="L31" s="33">
        <f t="shared" si="15"/>
        <v>0</v>
      </c>
      <c r="M31" s="33">
        <f t="shared" si="15"/>
        <v>0</v>
      </c>
      <c r="N31" s="33">
        <f t="shared" si="15"/>
        <v>0</v>
      </c>
      <c r="O31" s="33">
        <f t="shared" si="15"/>
        <v>0</v>
      </c>
      <c r="P31" s="33">
        <f t="shared" si="15"/>
        <v>0</v>
      </c>
      <c r="Q31" s="31">
        <f>[1]PL!$K$31</f>
        <v>39.499361344302969</v>
      </c>
      <c r="R31" s="32">
        <f t="shared" ref="R31:R34" si="16">(P31-Q31)/Q31</f>
        <v>-1</v>
      </c>
    </row>
    <row r="32" spans="1:18" x14ac:dyDescent="0.3">
      <c r="C32" s="33" t="s">
        <v>104</v>
      </c>
      <c r="D32" s="33">
        <f t="shared" si="15"/>
        <v>-510.79141188888889</v>
      </c>
      <c r="E32" s="33">
        <f t="shared" si="15"/>
        <v>-460.63117222222223</v>
      </c>
      <c r="F32" s="33">
        <f t="shared" si="15"/>
        <v>-505.63289288888882</v>
      </c>
      <c r="G32" s="33">
        <f t="shared" si="15"/>
        <v>-487.1995936666666</v>
      </c>
      <c r="H32" s="33">
        <f t="shared" si="15"/>
        <v>-500.52102488888886</v>
      </c>
      <c r="I32" s="33">
        <f t="shared" si="15"/>
        <v>-482.18598166666663</v>
      </c>
      <c r="J32" s="33">
        <f t="shared" si="15"/>
        <v>-426.56922299999997</v>
      </c>
      <c r="K32" s="33">
        <f t="shared" si="15"/>
        <v>-424.00036299999994</v>
      </c>
      <c r="L32" s="33">
        <f t="shared" si="15"/>
        <v>-407.81249999999994</v>
      </c>
      <c r="M32" s="33">
        <f t="shared" si="15"/>
        <v>-421.40624999999994</v>
      </c>
      <c r="N32" s="33">
        <f t="shared" si="15"/>
        <v>-407.81249999999994</v>
      </c>
      <c r="O32" s="33">
        <f t="shared" si="15"/>
        <v>-421.40624999999994</v>
      </c>
      <c r="P32" s="33">
        <f t="shared" si="15"/>
        <v>-5455.9691632222221</v>
      </c>
      <c r="Q32" s="31">
        <f>[1]PL!$K$32</f>
        <v>-4759.69037398</v>
      </c>
      <c r="R32" s="32">
        <f t="shared" si="16"/>
        <v>0.14628657213683449</v>
      </c>
    </row>
    <row r="33" spans="3:18" x14ac:dyDescent="0.3">
      <c r="C33" s="33" t="s">
        <v>105</v>
      </c>
      <c r="D33" s="33">
        <f t="shared" si="15"/>
        <v>0</v>
      </c>
      <c r="E33" s="33">
        <f t="shared" si="15"/>
        <v>0</v>
      </c>
      <c r="F33" s="33">
        <f t="shared" si="15"/>
        <v>0</v>
      </c>
      <c r="G33" s="33">
        <f t="shared" si="15"/>
        <v>0</v>
      </c>
      <c r="H33" s="33">
        <f t="shared" si="15"/>
        <v>0</v>
      </c>
      <c r="I33" s="33">
        <f t="shared" si="15"/>
        <v>0</v>
      </c>
      <c r="J33" s="33">
        <f t="shared" si="15"/>
        <v>0</v>
      </c>
      <c r="K33" s="33">
        <f t="shared" si="15"/>
        <v>0</v>
      </c>
      <c r="L33" s="33">
        <f t="shared" si="15"/>
        <v>0</v>
      </c>
      <c r="M33" s="33">
        <f t="shared" si="15"/>
        <v>0</v>
      </c>
      <c r="N33" s="33">
        <f t="shared" si="15"/>
        <v>0</v>
      </c>
      <c r="O33" s="33">
        <f t="shared" si="15"/>
        <v>0</v>
      </c>
      <c r="P33" s="33">
        <f t="shared" si="15"/>
        <v>0</v>
      </c>
      <c r="Q33" s="31">
        <f>[1]PL!$K$33</f>
        <v>299.32313395465553</v>
      </c>
      <c r="R33" s="32">
        <f t="shared" si="16"/>
        <v>-1</v>
      </c>
    </row>
    <row r="34" spans="3:18" x14ac:dyDescent="0.3">
      <c r="C34" s="33" t="s">
        <v>106</v>
      </c>
      <c r="D34" s="33">
        <f t="shared" si="15"/>
        <v>100</v>
      </c>
      <c r="E34" s="33">
        <f t="shared" si="15"/>
        <v>100</v>
      </c>
      <c r="F34" s="33">
        <f t="shared" si="15"/>
        <v>100</v>
      </c>
      <c r="G34" s="33">
        <f t="shared" si="15"/>
        <v>100</v>
      </c>
      <c r="H34" s="33">
        <f t="shared" si="15"/>
        <v>1838</v>
      </c>
      <c r="I34" s="33">
        <f t="shared" si="15"/>
        <v>100</v>
      </c>
      <c r="J34" s="33">
        <f t="shared" si="15"/>
        <v>100</v>
      </c>
      <c r="K34" s="33">
        <f t="shared" si="15"/>
        <v>100</v>
      </c>
      <c r="L34" s="33">
        <f t="shared" si="15"/>
        <v>100</v>
      </c>
      <c r="M34" s="33">
        <f t="shared" si="15"/>
        <v>100</v>
      </c>
      <c r="N34" s="33">
        <f t="shared" si="15"/>
        <v>100</v>
      </c>
      <c r="O34" s="33">
        <f t="shared" si="15"/>
        <v>100</v>
      </c>
      <c r="P34" s="33">
        <f t="shared" si="15"/>
        <v>2938</v>
      </c>
      <c r="Q34" s="31">
        <f>[1]PL!$K$34</f>
        <v>2075.6446161639456</v>
      </c>
      <c r="R34" s="32">
        <f t="shared" si="16"/>
        <v>0.4154638887218548</v>
      </c>
    </row>
    <row r="35" spans="3:18" ht="13.5" thickBot="1" x14ac:dyDescent="0.35">
      <c r="C35" s="33" t="s">
        <v>98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1"/>
      <c r="R35" s="32"/>
    </row>
    <row r="36" spans="3:18" ht="13.5" thickBot="1" x14ac:dyDescent="0.35">
      <c r="C36" s="39" t="s">
        <v>107</v>
      </c>
      <c r="D36" s="39">
        <f t="shared" ref="D36:P36" si="17">SUM(D31:D34)</f>
        <v>-410.79141188888889</v>
      </c>
      <c r="E36" s="39">
        <f t="shared" si="17"/>
        <v>-360.63117222222223</v>
      </c>
      <c r="F36" s="39">
        <f t="shared" si="17"/>
        <v>-405.63289288888882</v>
      </c>
      <c r="G36" s="39">
        <f t="shared" si="17"/>
        <v>-387.1995936666666</v>
      </c>
      <c r="H36" s="39">
        <f t="shared" si="17"/>
        <v>1337.4789751111111</v>
      </c>
      <c r="I36" s="39">
        <f t="shared" si="17"/>
        <v>-382.18598166666663</v>
      </c>
      <c r="J36" s="39">
        <f t="shared" si="17"/>
        <v>-326.56922299999997</v>
      </c>
      <c r="K36" s="39">
        <f t="shared" si="17"/>
        <v>-324.00036299999994</v>
      </c>
      <c r="L36" s="39">
        <f t="shared" si="17"/>
        <v>-307.81249999999994</v>
      </c>
      <c r="M36" s="39">
        <f t="shared" si="17"/>
        <v>-321.40624999999994</v>
      </c>
      <c r="N36" s="39">
        <f t="shared" si="17"/>
        <v>-307.81249999999994</v>
      </c>
      <c r="O36" s="39">
        <f t="shared" si="17"/>
        <v>-321.40624999999994</v>
      </c>
      <c r="P36" s="39">
        <f t="shared" si="17"/>
        <v>-2517.9691632222221</v>
      </c>
      <c r="Q36" s="40">
        <f>SUM(Q31:Q34)</f>
        <v>-2345.2232625170959</v>
      </c>
      <c r="R36" s="41">
        <f>(P36-Q36)/Q36</f>
        <v>7.3658616416639303E-2</v>
      </c>
    </row>
    <row r="37" spans="3:18" ht="13.5" thickBot="1" x14ac:dyDescent="0.35"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1"/>
      <c r="R37" s="32"/>
    </row>
    <row r="38" spans="3:18" ht="13.5" thickBot="1" x14ac:dyDescent="0.35">
      <c r="C38" s="39" t="s">
        <v>108</v>
      </c>
      <c r="D38" s="39">
        <f t="shared" ref="D38:P38" si="18">D28+D36</f>
        <v>2686.0021336047066</v>
      </c>
      <c r="E38" s="39">
        <f t="shared" si="18"/>
        <v>2973.3429412511373</v>
      </c>
      <c r="F38" s="39">
        <f t="shared" si="18"/>
        <v>2736.3966413523567</v>
      </c>
      <c r="G38" s="39">
        <f t="shared" si="18"/>
        <v>2555.2834872932976</v>
      </c>
      <c r="H38" s="39">
        <f t="shared" si="18"/>
        <v>5863.1034852229568</v>
      </c>
      <c r="I38" s="39">
        <f t="shared" si="18"/>
        <v>5301.502181042496</v>
      </c>
      <c r="J38" s="39">
        <f t="shared" si="18"/>
        <v>6900.1776545721877</v>
      </c>
      <c r="K38" s="39">
        <f t="shared" si="18"/>
        <v>5946.1255330998229</v>
      </c>
      <c r="L38" s="39">
        <f t="shared" si="18"/>
        <v>6164.3248709964046</v>
      </c>
      <c r="M38" s="39">
        <f t="shared" si="18"/>
        <v>8386.5410632151907</v>
      </c>
      <c r="N38" s="39">
        <f t="shared" si="18"/>
        <v>6454.5343005083832</v>
      </c>
      <c r="O38" s="39">
        <f t="shared" si="18"/>
        <v>5783.1786903211487</v>
      </c>
      <c r="P38" s="39">
        <f t="shared" si="18"/>
        <v>61750.512982480177</v>
      </c>
      <c r="Q38" s="40">
        <f>Q28+Q36</f>
        <v>1768.240177496968</v>
      </c>
      <c r="R38" s="41">
        <f>(P38-Q38)/Q38</f>
        <v>33.922016685477139</v>
      </c>
    </row>
    <row r="39" spans="3:18" ht="13.5" thickBot="1" x14ac:dyDescent="0.35">
      <c r="C39" s="49" t="s">
        <v>98</v>
      </c>
      <c r="D39" s="50">
        <f t="shared" ref="D39:O39" si="19">D38/D18</f>
        <v>0.1234759368743415</v>
      </c>
      <c r="E39" s="50">
        <f t="shared" si="19"/>
        <v>0.12465687325478798</v>
      </c>
      <c r="F39" s="50">
        <f t="shared" si="19"/>
        <v>0.1151549561473538</v>
      </c>
      <c r="G39" s="50">
        <f t="shared" si="19"/>
        <v>0.11412352701048224</v>
      </c>
      <c r="H39" s="50">
        <f t="shared" si="19"/>
        <v>0.21984218364229421</v>
      </c>
      <c r="I39" s="50">
        <f t="shared" si="19"/>
        <v>0.18802113143138641</v>
      </c>
      <c r="J39" s="50">
        <f t="shared" si="19"/>
        <v>0.19635620469088055</v>
      </c>
      <c r="K39" s="50">
        <f t="shared" si="19"/>
        <v>0.18688602276719202</v>
      </c>
      <c r="L39" s="50">
        <f t="shared" si="19"/>
        <v>0.18706069940806028</v>
      </c>
      <c r="M39" s="50">
        <f t="shared" si="19"/>
        <v>0.2105950310815492</v>
      </c>
      <c r="N39" s="50">
        <f t="shared" si="19"/>
        <v>0.1936689897006211</v>
      </c>
      <c r="O39" s="50">
        <f t="shared" si="19"/>
        <v>0.18508462183555766</v>
      </c>
      <c r="P39" s="50">
        <f>P38/P18</f>
        <v>0.17596094253999656</v>
      </c>
      <c r="Q39" s="35"/>
      <c r="R39" s="36"/>
    </row>
    <row r="40" spans="3:18" x14ac:dyDescent="0.3">
      <c r="C40" s="51"/>
      <c r="D40" s="51">
        <f t="shared" ref="D40:O40" si="20">D38-D224</f>
        <v>0</v>
      </c>
      <c r="E40" s="51">
        <f t="shared" si="20"/>
        <v>0</v>
      </c>
      <c r="F40" s="51">
        <f t="shared" si="20"/>
        <v>0</v>
      </c>
      <c r="G40" s="51">
        <f t="shared" si="20"/>
        <v>0</v>
      </c>
      <c r="H40" s="51">
        <f t="shared" si="20"/>
        <v>0</v>
      </c>
      <c r="I40" s="51">
        <f t="shared" si="20"/>
        <v>0</v>
      </c>
      <c r="J40" s="51">
        <f t="shared" si="20"/>
        <v>0</v>
      </c>
      <c r="K40" s="51">
        <f t="shared" si="20"/>
        <v>0</v>
      </c>
      <c r="L40" s="51">
        <f t="shared" si="20"/>
        <v>0</v>
      </c>
      <c r="M40" s="51">
        <f t="shared" si="20"/>
        <v>0</v>
      </c>
      <c r="N40" s="51">
        <f t="shared" si="20"/>
        <v>0</v>
      </c>
      <c r="O40" s="51">
        <f t="shared" si="20"/>
        <v>0</v>
      </c>
      <c r="P40" s="51">
        <f>P38-P224</f>
        <v>0</v>
      </c>
    </row>
    <row r="41" spans="3:18" hidden="1" x14ac:dyDescent="0.3">
      <c r="C41" s="52" t="s">
        <v>109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3:18" ht="13.5" hidden="1" thickBot="1" x14ac:dyDescent="0.35">
      <c r="C42" s="23" t="s">
        <v>69</v>
      </c>
      <c r="D42" s="24" t="s">
        <v>70</v>
      </c>
      <c r="E42" s="24" t="s">
        <v>71</v>
      </c>
      <c r="F42" s="24" t="s">
        <v>72</v>
      </c>
      <c r="G42" s="24" t="s">
        <v>73</v>
      </c>
      <c r="H42" s="24" t="s">
        <v>74</v>
      </c>
      <c r="I42" s="24" t="s">
        <v>75</v>
      </c>
      <c r="J42" s="24" t="s">
        <v>76</v>
      </c>
      <c r="K42" s="24" t="s">
        <v>77</v>
      </c>
      <c r="L42" s="24" t="s">
        <v>78</v>
      </c>
      <c r="M42" s="24" t="s">
        <v>79</v>
      </c>
      <c r="N42" s="24" t="s">
        <v>80</v>
      </c>
      <c r="O42" s="24" t="s">
        <v>81</v>
      </c>
      <c r="P42" s="25" t="s">
        <v>110</v>
      </c>
    </row>
    <row r="43" spans="3:18" hidden="1" x14ac:dyDescent="0.3">
      <c r="C43" s="53" t="s">
        <v>111</v>
      </c>
      <c r="D43" s="54" t="e">
        <f>'[2]Budget Local Sales to FICO'!D21*1000</f>
        <v>#REF!</v>
      </c>
      <c r="E43" s="54">
        <f>'[3]Budget Local Sales to FICO'!E21*1000</f>
        <v>353000</v>
      </c>
      <c r="F43" s="54">
        <f>'[3]Budget Local Sales to FICO'!F21*1000</f>
        <v>355000</v>
      </c>
      <c r="G43" s="54">
        <f>'[3]Budget Local Sales to FICO'!G21*1000</f>
        <v>446000</v>
      </c>
      <c r="H43" s="54">
        <f>'[3]Budget Local Sales to FICO'!H21*1000</f>
        <v>342000</v>
      </c>
      <c r="I43" s="54">
        <f>'[3]Budget Local Sales to FICO'!I21*1000</f>
        <v>441000</v>
      </c>
      <c r="J43" s="54">
        <f>'[3]Budget Local Sales to FICO'!J21*1000</f>
        <v>479000</v>
      </c>
      <c r="K43" s="54">
        <f>'[3]Budget Local Sales to FICO'!K21*1000</f>
        <v>477000</v>
      </c>
      <c r="L43" s="54">
        <f>'[3]Budget Local Sales to FICO'!L21*1000</f>
        <v>482000</v>
      </c>
      <c r="M43" s="54">
        <f>'[3]Budget Local Sales to FICO'!M21*1000</f>
        <v>488000</v>
      </c>
      <c r="N43" s="54">
        <f>'[3]Budget Local Sales to FICO'!N21*1000</f>
        <v>515000</v>
      </c>
      <c r="O43" s="54">
        <f>'[3]Budget Local Sales to FICO'!O21*1000</f>
        <v>484000</v>
      </c>
      <c r="P43" s="54" t="e">
        <f>SUM(D43:O43)</f>
        <v>#REF!</v>
      </c>
    </row>
    <row r="44" spans="3:18" hidden="1" x14ac:dyDescent="0.3">
      <c r="C44" s="55" t="s">
        <v>112</v>
      </c>
      <c r="D44" s="54">
        <f>'[3]Budget Local Sales to FICO'!D22*1000</f>
        <v>92000</v>
      </c>
      <c r="E44" s="54">
        <f>'[3]Budget Local Sales to FICO'!E22*1000</f>
        <v>98000</v>
      </c>
      <c r="F44" s="54">
        <f>'[3]Budget Local Sales to FICO'!F22*1000</f>
        <v>85000</v>
      </c>
      <c r="G44" s="54">
        <f>'[3]Budget Local Sales to FICO'!G22*1000</f>
        <v>38000</v>
      </c>
      <c r="H44" s="54">
        <f>'[3]Budget Local Sales to FICO'!H22*1000</f>
        <v>22000</v>
      </c>
      <c r="I44" s="54">
        <f>'[3]Budget Local Sales to FICO'!I22*1000</f>
        <v>34000</v>
      </c>
      <c r="J44" s="54">
        <f>'[3]Budget Local Sales to FICO'!J22*1000</f>
        <v>53000</v>
      </c>
      <c r="K44" s="54">
        <f>'[3]Budget Local Sales to FICO'!K22*1000</f>
        <v>46000</v>
      </c>
      <c r="L44" s="54">
        <f>'[3]Budget Local Sales to FICO'!L22*1000</f>
        <v>42000</v>
      </c>
      <c r="M44" s="54">
        <f>'[3]Budget Local Sales to FICO'!M22*1000</f>
        <v>33000</v>
      </c>
      <c r="N44" s="54">
        <f>'[3]Budget Local Sales to FICO'!N22*1000</f>
        <v>11000</v>
      </c>
      <c r="O44" s="54">
        <f>'[3]Budget Local Sales to FICO'!O22*1000</f>
        <v>50000</v>
      </c>
      <c r="P44" s="54">
        <f t="shared" ref="P44:P48" si="21">SUM(D44:O44)</f>
        <v>604000</v>
      </c>
    </row>
    <row r="45" spans="3:18" hidden="1" x14ac:dyDescent="0.3">
      <c r="C45" s="56" t="s">
        <v>113</v>
      </c>
      <c r="D45" s="54">
        <f>[4]Accounting!D24</f>
        <v>36000</v>
      </c>
      <c r="E45" s="54">
        <f>[4]Accounting!E24</f>
        <v>18000</v>
      </c>
      <c r="F45" s="54">
        <f>[4]Accounting!F24</f>
        <v>43000</v>
      </c>
      <c r="G45" s="54">
        <f>[4]Accounting!G24</f>
        <v>39000</v>
      </c>
      <c r="H45" s="54">
        <f>[4]Accounting!H24</f>
        <v>40000</v>
      </c>
      <c r="I45" s="54">
        <f>[4]Accounting!I24</f>
        <v>33000</v>
      </c>
      <c r="J45" s="54">
        <f>[4]Accounting!J24</f>
        <v>34000</v>
      </c>
      <c r="K45" s="54">
        <f>[4]Accounting!K24</f>
        <v>43000</v>
      </c>
      <c r="L45" s="54">
        <f>[4]Accounting!L24</f>
        <v>43000</v>
      </c>
      <c r="M45" s="54">
        <f>[4]Accounting!M24</f>
        <v>43000</v>
      </c>
      <c r="N45" s="54">
        <f>[4]Accounting!N24</f>
        <v>38000</v>
      </c>
      <c r="O45" s="54">
        <f>[4]Accounting!O24</f>
        <v>32000</v>
      </c>
      <c r="P45" s="54">
        <f t="shared" si="21"/>
        <v>442000</v>
      </c>
    </row>
    <row r="46" spans="3:18" hidden="1" x14ac:dyDescent="0.3">
      <c r="C46" s="56" t="s">
        <v>90</v>
      </c>
      <c r="D46" s="54">
        <f>[4]Accounting!D25</f>
        <v>24000</v>
      </c>
      <c r="E46" s="54">
        <f>[4]Accounting!E25</f>
        <v>32000</v>
      </c>
      <c r="F46" s="54">
        <f>[4]Accounting!F25</f>
        <v>17000</v>
      </c>
      <c r="G46" s="54">
        <f>[4]Accounting!G25</f>
        <v>31000</v>
      </c>
      <c r="H46" s="54">
        <f>[4]Accounting!H25</f>
        <v>35000</v>
      </c>
      <c r="I46" s="54">
        <f>[4]Accounting!I25</f>
        <v>47000</v>
      </c>
      <c r="J46" s="54">
        <f>[4]Accounting!J25</f>
        <v>36000</v>
      </c>
      <c r="K46" s="54">
        <f>[4]Accounting!K25</f>
        <v>32000</v>
      </c>
      <c r="L46" s="54">
        <f>[4]Accounting!L25</f>
        <v>37000</v>
      </c>
      <c r="M46" s="54">
        <f>[4]Accounting!M25</f>
        <v>37000</v>
      </c>
      <c r="N46" s="54">
        <f>[4]Accounting!N25</f>
        <v>37000</v>
      </c>
      <c r="O46" s="54">
        <f>[4]Accounting!O25</f>
        <v>38000</v>
      </c>
      <c r="P46" s="54">
        <f t="shared" si="21"/>
        <v>403000</v>
      </c>
    </row>
    <row r="47" spans="3:18" hidden="1" x14ac:dyDescent="0.3">
      <c r="C47" s="55" t="s">
        <v>114</v>
      </c>
      <c r="D47" s="54">
        <f>'[3]Budget Local Sales to FICO'!D24*1000</f>
        <v>25000</v>
      </c>
      <c r="E47" s="54">
        <f>'[3]Budget Local Sales to FICO'!E24*1000</f>
        <v>30000</v>
      </c>
      <c r="F47" s="54">
        <f>'[3]Budget Local Sales to FICO'!F24*1000</f>
        <v>35000</v>
      </c>
      <c r="G47" s="54">
        <f>'[3]Budget Local Sales to FICO'!G24*1000</f>
        <v>35000</v>
      </c>
      <c r="H47" s="54">
        <f>'[3]Budget Local Sales to FICO'!H24*1000</f>
        <v>30000</v>
      </c>
      <c r="I47" s="54">
        <f>'[3]Budget Local Sales to FICO'!I24*1000</f>
        <v>10000</v>
      </c>
      <c r="J47" s="54">
        <f>'[3]Budget Local Sales to FICO'!J24*1000</f>
        <v>15000</v>
      </c>
      <c r="K47" s="54">
        <f>'[3]Budget Local Sales to FICO'!K24*1000</f>
        <v>30000</v>
      </c>
      <c r="L47" s="54">
        <f>'[3]Budget Local Sales to FICO'!L24*1000</f>
        <v>30000</v>
      </c>
      <c r="M47" s="54">
        <f>'[3]Budget Local Sales to FICO'!M24*1000</f>
        <v>30000</v>
      </c>
      <c r="N47" s="54">
        <f>'[3]Budget Local Sales to FICO'!N24*1000</f>
        <v>30000</v>
      </c>
      <c r="O47" s="54">
        <f>'[3]Budget Local Sales to FICO'!O24*1000</f>
        <v>30000</v>
      </c>
      <c r="P47" s="54">
        <f t="shared" si="21"/>
        <v>330000</v>
      </c>
    </row>
    <row r="48" spans="3:18" hidden="1" x14ac:dyDescent="0.3">
      <c r="C48" s="33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>
        <f t="shared" si="21"/>
        <v>0</v>
      </c>
    </row>
    <row r="49" spans="3:16" ht="13.5" hidden="1" thickTop="1" x14ac:dyDescent="0.3">
      <c r="C49" s="57" t="s">
        <v>115</v>
      </c>
      <c r="D49" s="57" t="e">
        <f>SUM(D43:D48)</f>
        <v>#REF!</v>
      </c>
      <c r="E49" s="57">
        <f t="shared" ref="E49:P49" si="22">SUM(E43:E48)</f>
        <v>531000</v>
      </c>
      <c r="F49" s="57">
        <f t="shared" si="22"/>
        <v>535000</v>
      </c>
      <c r="G49" s="57">
        <f t="shared" si="22"/>
        <v>589000</v>
      </c>
      <c r="H49" s="57">
        <f t="shared" si="22"/>
        <v>469000</v>
      </c>
      <c r="I49" s="57">
        <f t="shared" si="22"/>
        <v>565000</v>
      </c>
      <c r="J49" s="57">
        <f t="shared" si="22"/>
        <v>617000</v>
      </c>
      <c r="K49" s="57">
        <f t="shared" si="22"/>
        <v>628000</v>
      </c>
      <c r="L49" s="57">
        <f t="shared" si="22"/>
        <v>634000</v>
      </c>
      <c r="M49" s="57">
        <f t="shared" si="22"/>
        <v>631000</v>
      </c>
      <c r="N49" s="57">
        <f t="shared" si="22"/>
        <v>631000</v>
      </c>
      <c r="O49" s="57">
        <f t="shared" si="22"/>
        <v>634000</v>
      </c>
      <c r="P49" s="57" t="e">
        <f t="shared" si="22"/>
        <v>#REF!</v>
      </c>
    </row>
    <row r="50" spans="3:16" ht="13.5" hidden="1" thickBot="1" x14ac:dyDescent="0.35">
      <c r="C50" s="58" t="s">
        <v>116</v>
      </c>
      <c r="D50" s="58" t="e">
        <f t="shared" ref="D50:P50" si="23">D49-D47</f>
        <v>#REF!</v>
      </c>
      <c r="E50" s="58">
        <f t="shared" si="23"/>
        <v>501000</v>
      </c>
      <c r="F50" s="58">
        <f t="shared" si="23"/>
        <v>500000</v>
      </c>
      <c r="G50" s="58">
        <f t="shared" si="23"/>
        <v>554000</v>
      </c>
      <c r="H50" s="58">
        <f t="shared" si="23"/>
        <v>439000</v>
      </c>
      <c r="I50" s="58">
        <f t="shared" si="23"/>
        <v>555000</v>
      </c>
      <c r="J50" s="58">
        <f t="shared" si="23"/>
        <v>602000</v>
      </c>
      <c r="K50" s="58">
        <f t="shared" si="23"/>
        <v>598000</v>
      </c>
      <c r="L50" s="58">
        <f t="shared" si="23"/>
        <v>604000</v>
      </c>
      <c r="M50" s="58">
        <f t="shared" si="23"/>
        <v>601000</v>
      </c>
      <c r="N50" s="58">
        <f t="shared" si="23"/>
        <v>601000</v>
      </c>
      <c r="O50" s="58">
        <f t="shared" si="23"/>
        <v>604000</v>
      </c>
      <c r="P50" s="58" t="e">
        <f t="shared" si="23"/>
        <v>#REF!</v>
      </c>
    </row>
    <row r="51" spans="3:16" x14ac:dyDescent="0.3">
      <c r="C51" s="59" t="s">
        <v>117</v>
      </c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3:16" x14ac:dyDescent="0.3"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</row>
    <row r="53" spans="3:16" hidden="1" x14ac:dyDescent="0.3">
      <c r="C53" s="52" t="s">
        <v>118</v>
      </c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</row>
    <row r="54" spans="3:16" ht="13.5" hidden="1" customHeight="1" x14ac:dyDescent="0.3">
      <c r="C54" s="23" t="s">
        <v>69</v>
      </c>
      <c r="D54" s="24" t="s">
        <v>70</v>
      </c>
      <c r="E54" s="24" t="s">
        <v>71</v>
      </c>
      <c r="F54" s="24" t="s">
        <v>72</v>
      </c>
      <c r="G54" s="24" t="s">
        <v>73</v>
      </c>
      <c r="H54" s="24" t="s">
        <v>74</v>
      </c>
      <c r="I54" s="24" t="s">
        <v>75</v>
      </c>
      <c r="J54" s="24" t="s">
        <v>76</v>
      </c>
      <c r="K54" s="24" t="s">
        <v>77</v>
      </c>
      <c r="L54" s="24" t="s">
        <v>78</v>
      </c>
      <c r="M54" s="24" t="s">
        <v>79</v>
      </c>
      <c r="N54" s="24" t="s">
        <v>80</v>
      </c>
      <c r="O54" s="24" t="s">
        <v>81</v>
      </c>
      <c r="P54" s="25"/>
    </row>
    <row r="55" spans="3:16" hidden="1" x14ac:dyDescent="0.3">
      <c r="C55" s="33" t="s">
        <v>119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62"/>
    </row>
    <row r="56" spans="3:16" hidden="1" x14ac:dyDescent="0.3">
      <c r="C56" s="33" t="s">
        <v>120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62"/>
    </row>
    <row r="57" spans="3:16" hidden="1" x14ac:dyDescent="0.3">
      <c r="C57" s="33" t="s">
        <v>121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62"/>
    </row>
    <row r="58" spans="3:16" hidden="1" x14ac:dyDescent="0.3">
      <c r="C58" s="33" t="s">
        <v>122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62"/>
    </row>
    <row r="59" spans="3:16" hidden="1" x14ac:dyDescent="0.3">
      <c r="C59" s="33" t="s">
        <v>123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62"/>
    </row>
    <row r="60" spans="3:16" hidden="1" x14ac:dyDescent="0.3">
      <c r="C60" s="33" t="s">
        <v>124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62"/>
    </row>
    <row r="61" spans="3:16" hidden="1" x14ac:dyDescent="0.3">
      <c r="C61" s="33" t="s">
        <v>125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62"/>
    </row>
    <row r="62" spans="3:16" ht="13.5" hidden="1" thickBot="1" x14ac:dyDescent="0.35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3:16" hidden="1" x14ac:dyDescent="0.3">
      <c r="C63" s="63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3:16" hidden="1" x14ac:dyDescent="0.3"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</row>
    <row r="65" spans="3:16" hidden="1" x14ac:dyDescent="0.3">
      <c r="C65" s="66" t="s">
        <v>126</v>
      </c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</row>
    <row r="66" spans="3:16" ht="13.5" hidden="1" customHeight="1" x14ac:dyDescent="0.3">
      <c r="C66" s="23" t="s">
        <v>69</v>
      </c>
      <c r="D66" s="24" t="s">
        <v>70</v>
      </c>
      <c r="E66" s="24" t="s">
        <v>71</v>
      </c>
      <c r="F66" s="24" t="s">
        <v>72</v>
      </c>
      <c r="G66" s="24" t="s">
        <v>73</v>
      </c>
      <c r="H66" s="24" t="s">
        <v>74</v>
      </c>
      <c r="I66" s="24" t="s">
        <v>75</v>
      </c>
      <c r="J66" s="24" t="s">
        <v>76</v>
      </c>
      <c r="K66" s="24" t="s">
        <v>77</v>
      </c>
      <c r="L66" s="24" t="s">
        <v>78</v>
      </c>
      <c r="M66" s="24" t="s">
        <v>79</v>
      </c>
      <c r="N66" s="24" t="s">
        <v>80</v>
      </c>
      <c r="O66" s="24" t="s">
        <v>81</v>
      </c>
      <c r="P66" s="25"/>
    </row>
    <row r="67" spans="3:16" hidden="1" x14ac:dyDescent="0.3">
      <c r="C67" s="33" t="s">
        <v>127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3:16" hidden="1" x14ac:dyDescent="0.3">
      <c r="C68" s="33" t="s">
        <v>128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3:16" hidden="1" x14ac:dyDescent="0.3">
      <c r="C69" s="33" t="s">
        <v>129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  <row r="70" spans="3:16" hidden="1" x14ac:dyDescent="0.3">
      <c r="C70" s="33" t="s">
        <v>130</v>
      </c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</row>
    <row r="71" spans="3:16" hidden="1" x14ac:dyDescent="0.3">
      <c r="C71" s="33" t="s">
        <v>131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</row>
    <row r="72" spans="3:16" hidden="1" x14ac:dyDescent="0.3"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</row>
    <row r="73" spans="3:16" hidden="1" x14ac:dyDescent="0.3">
      <c r="C73" s="33" t="s">
        <v>132</v>
      </c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</row>
    <row r="74" spans="3:16" hidden="1" x14ac:dyDescent="0.3">
      <c r="C74" s="33" t="s">
        <v>133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</row>
    <row r="75" spans="3:16" hidden="1" x14ac:dyDescent="0.3">
      <c r="C75" s="33" t="s">
        <v>134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3:16" hidden="1" x14ac:dyDescent="0.3">
      <c r="C76" s="33" t="s">
        <v>135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</row>
    <row r="77" spans="3:16" hidden="1" x14ac:dyDescent="0.3">
      <c r="C77" s="33" t="s">
        <v>136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</row>
    <row r="78" spans="3:16" hidden="1" x14ac:dyDescent="0.3">
      <c r="C78" s="33" t="s">
        <v>137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</row>
    <row r="79" spans="3:16" hidden="1" x14ac:dyDescent="0.3">
      <c r="C79" s="33" t="s">
        <v>138</v>
      </c>
      <c r="D79" s="33" t="e">
        <f>#REF!</f>
        <v>#REF!</v>
      </c>
      <c r="E79" s="33" t="e">
        <f>#REF!</f>
        <v>#REF!</v>
      </c>
      <c r="F79" s="33" t="e">
        <f>#REF!</f>
        <v>#REF!</v>
      </c>
      <c r="G79" s="33" t="e">
        <f>#REF!</f>
        <v>#REF!</v>
      </c>
      <c r="H79" s="33" t="e">
        <f>#REF!</f>
        <v>#REF!</v>
      </c>
      <c r="I79" s="33" t="e">
        <f>#REF!</f>
        <v>#REF!</v>
      </c>
      <c r="J79" s="33" t="e">
        <f>#REF!</f>
        <v>#REF!</v>
      </c>
      <c r="K79" s="33" t="e">
        <f>#REF!</f>
        <v>#REF!</v>
      </c>
      <c r="L79" s="33" t="e">
        <f>#REF!</f>
        <v>#REF!</v>
      </c>
      <c r="M79" s="33" t="e">
        <f>#REF!</f>
        <v>#REF!</v>
      </c>
      <c r="N79" s="33" t="e">
        <f>#REF!</f>
        <v>#REF!</v>
      </c>
      <c r="O79" s="33" t="e">
        <f>#REF!</f>
        <v>#REF!</v>
      </c>
      <c r="P79" s="33"/>
    </row>
    <row r="80" spans="3:16" ht="13.5" hidden="1" thickBot="1" x14ac:dyDescent="0.35"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</row>
    <row r="81" spans="3:16" hidden="1" x14ac:dyDescent="0.3">
      <c r="C81" s="63"/>
      <c r="D81" s="67" t="e">
        <f t="shared" ref="D81:O81" si="24">SUM(D67:D80)</f>
        <v>#REF!</v>
      </c>
      <c r="E81" s="67" t="e">
        <f t="shared" si="24"/>
        <v>#REF!</v>
      </c>
      <c r="F81" s="67" t="e">
        <f t="shared" si="24"/>
        <v>#REF!</v>
      </c>
      <c r="G81" s="67" t="e">
        <f t="shared" si="24"/>
        <v>#REF!</v>
      </c>
      <c r="H81" s="67" t="e">
        <f t="shared" si="24"/>
        <v>#REF!</v>
      </c>
      <c r="I81" s="67" t="e">
        <f t="shared" si="24"/>
        <v>#REF!</v>
      </c>
      <c r="J81" s="67" t="e">
        <f t="shared" si="24"/>
        <v>#REF!</v>
      </c>
      <c r="K81" s="67" t="e">
        <f t="shared" si="24"/>
        <v>#REF!</v>
      </c>
      <c r="L81" s="67" t="e">
        <f t="shared" si="24"/>
        <v>#REF!</v>
      </c>
      <c r="M81" s="67" t="e">
        <f t="shared" si="24"/>
        <v>#REF!</v>
      </c>
      <c r="N81" s="67" t="e">
        <f t="shared" si="24"/>
        <v>#REF!</v>
      </c>
      <c r="O81" s="67" t="e">
        <f t="shared" si="24"/>
        <v>#REF!</v>
      </c>
      <c r="P81" s="67"/>
    </row>
    <row r="82" spans="3:16" hidden="1" x14ac:dyDescent="0.3">
      <c r="C82" s="63"/>
      <c r="D82" s="67" t="e">
        <f t="shared" ref="D82:O82" si="25">D81-D20-D24-D25+D118-D74-D75-D76</f>
        <v>#REF!</v>
      </c>
      <c r="E82" s="67" t="e">
        <f t="shared" si="25"/>
        <v>#REF!</v>
      </c>
      <c r="F82" s="67" t="e">
        <f t="shared" si="25"/>
        <v>#REF!</v>
      </c>
      <c r="G82" s="67" t="e">
        <f t="shared" si="25"/>
        <v>#REF!</v>
      </c>
      <c r="H82" s="67" t="e">
        <f t="shared" si="25"/>
        <v>#REF!</v>
      </c>
      <c r="I82" s="67" t="e">
        <f t="shared" si="25"/>
        <v>#REF!</v>
      </c>
      <c r="J82" s="67" t="e">
        <f t="shared" si="25"/>
        <v>#REF!</v>
      </c>
      <c r="K82" s="67" t="e">
        <f t="shared" si="25"/>
        <v>#REF!</v>
      </c>
      <c r="L82" s="67" t="e">
        <f t="shared" si="25"/>
        <v>#REF!</v>
      </c>
      <c r="M82" s="67" t="e">
        <f t="shared" si="25"/>
        <v>#REF!</v>
      </c>
      <c r="N82" s="67" t="e">
        <f t="shared" si="25"/>
        <v>#REF!</v>
      </c>
      <c r="O82" s="67" t="e">
        <f t="shared" si="25"/>
        <v>#REF!</v>
      </c>
      <c r="P82" s="67"/>
    </row>
    <row r="83" spans="3:16" hidden="1" x14ac:dyDescent="0.3">
      <c r="C83" s="66" t="s">
        <v>139</v>
      </c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</row>
    <row r="84" spans="3:16" ht="13.5" hidden="1" customHeight="1" x14ac:dyDescent="0.3">
      <c r="C84" s="23" t="s">
        <v>69</v>
      </c>
      <c r="D84" s="24" t="s">
        <v>70</v>
      </c>
      <c r="E84" s="24" t="s">
        <v>71</v>
      </c>
      <c r="F84" s="24" t="s">
        <v>72</v>
      </c>
      <c r="G84" s="24" t="s">
        <v>73</v>
      </c>
      <c r="H84" s="24" t="s">
        <v>74</v>
      </c>
      <c r="I84" s="24" t="s">
        <v>75</v>
      </c>
      <c r="J84" s="24" t="s">
        <v>76</v>
      </c>
      <c r="K84" s="24" t="s">
        <v>77</v>
      </c>
      <c r="L84" s="24" t="s">
        <v>78</v>
      </c>
      <c r="M84" s="24" t="s">
        <v>79</v>
      </c>
      <c r="N84" s="24" t="s">
        <v>80</v>
      </c>
      <c r="O84" s="24" t="s">
        <v>81</v>
      </c>
      <c r="P84" s="25"/>
    </row>
    <row r="85" spans="3:16" hidden="1" x14ac:dyDescent="0.3">
      <c r="C85" s="33" t="s">
        <v>127</v>
      </c>
      <c r="D85" s="54">
        <f t="shared" ref="D85:O85" si="26">D275</f>
        <v>0</v>
      </c>
      <c r="E85" s="54">
        <f t="shared" si="26"/>
        <v>0</v>
      </c>
      <c r="F85" s="54">
        <f t="shared" si="26"/>
        <v>0</v>
      </c>
      <c r="G85" s="54">
        <f t="shared" si="26"/>
        <v>0</v>
      </c>
      <c r="H85" s="54">
        <f t="shared" si="26"/>
        <v>0</v>
      </c>
      <c r="I85" s="54">
        <f t="shared" si="26"/>
        <v>0</v>
      </c>
      <c r="J85" s="54">
        <f t="shared" si="26"/>
        <v>0</v>
      </c>
      <c r="K85" s="54">
        <f t="shared" si="26"/>
        <v>0</v>
      </c>
      <c r="L85" s="54">
        <f t="shared" si="26"/>
        <v>0</v>
      </c>
      <c r="M85" s="54">
        <f t="shared" si="26"/>
        <v>0</v>
      </c>
      <c r="N85" s="54">
        <f t="shared" si="26"/>
        <v>0</v>
      </c>
      <c r="O85" s="54">
        <f t="shared" si="26"/>
        <v>0</v>
      </c>
      <c r="P85" s="54"/>
    </row>
    <row r="86" spans="3:16" hidden="1" x14ac:dyDescent="0.3">
      <c r="C86" s="33" t="s">
        <v>128</v>
      </c>
      <c r="D86" s="54" t="e">
        <f>#REF!</f>
        <v>#REF!</v>
      </c>
      <c r="E86" s="54" t="e">
        <f>#REF!</f>
        <v>#REF!</v>
      </c>
      <c r="F86" s="54" t="e">
        <f>#REF!</f>
        <v>#REF!</v>
      </c>
      <c r="G86" s="54" t="e">
        <f>#REF!</f>
        <v>#REF!</v>
      </c>
      <c r="H86" s="54" t="e">
        <f>#REF!</f>
        <v>#REF!</v>
      </c>
      <c r="I86" s="54" t="e">
        <f>#REF!</f>
        <v>#REF!</v>
      </c>
      <c r="J86" s="54" t="e">
        <f>#REF!</f>
        <v>#REF!</v>
      </c>
      <c r="K86" s="54" t="e">
        <f>#REF!</f>
        <v>#REF!</v>
      </c>
      <c r="L86" s="54" t="e">
        <f>#REF!</f>
        <v>#REF!</v>
      </c>
      <c r="M86" s="54" t="e">
        <f>#REF!</f>
        <v>#REF!</v>
      </c>
      <c r="N86" s="54" t="e">
        <f>#REF!</f>
        <v>#REF!</v>
      </c>
      <c r="O86" s="54" t="e">
        <f>#REF!</f>
        <v>#REF!</v>
      </c>
      <c r="P86" s="54"/>
    </row>
    <row r="87" spans="3:16" hidden="1" x14ac:dyDescent="0.3">
      <c r="C87" s="33" t="s">
        <v>129</v>
      </c>
      <c r="D87" s="54" t="e">
        <f>#REF!</f>
        <v>#REF!</v>
      </c>
      <c r="E87" s="54" t="e">
        <f>#REF!</f>
        <v>#REF!</v>
      </c>
      <c r="F87" s="54" t="e">
        <f>#REF!</f>
        <v>#REF!</v>
      </c>
      <c r="G87" s="54" t="e">
        <f>#REF!</f>
        <v>#REF!</v>
      </c>
      <c r="H87" s="54" t="e">
        <f>#REF!</f>
        <v>#REF!</v>
      </c>
      <c r="I87" s="54" t="e">
        <f>#REF!</f>
        <v>#REF!</v>
      </c>
      <c r="J87" s="54" t="e">
        <f>#REF!</f>
        <v>#REF!</v>
      </c>
      <c r="K87" s="54" t="e">
        <f>#REF!</f>
        <v>#REF!</v>
      </c>
      <c r="L87" s="54" t="e">
        <f>#REF!</f>
        <v>#REF!</v>
      </c>
      <c r="M87" s="54" t="e">
        <f>#REF!</f>
        <v>#REF!</v>
      </c>
      <c r="N87" s="54" t="e">
        <f>#REF!</f>
        <v>#REF!</v>
      </c>
      <c r="O87" s="54" t="e">
        <f>#REF!</f>
        <v>#REF!</v>
      </c>
      <c r="P87" s="54"/>
    </row>
    <row r="88" spans="3:16" hidden="1" x14ac:dyDescent="0.3">
      <c r="C88" s="33" t="s">
        <v>130</v>
      </c>
      <c r="D88" s="54" t="e">
        <f>#REF!</f>
        <v>#REF!</v>
      </c>
      <c r="E88" s="54" t="e">
        <f>#REF!</f>
        <v>#REF!</v>
      </c>
      <c r="F88" s="54" t="e">
        <f>#REF!</f>
        <v>#REF!</v>
      </c>
      <c r="G88" s="54" t="e">
        <f>#REF!</f>
        <v>#REF!</v>
      </c>
      <c r="H88" s="54" t="e">
        <f>#REF!</f>
        <v>#REF!</v>
      </c>
      <c r="I88" s="54" t="e">
        <f>#REF!</f>
        <v>#REF!</v>
      </c>
      <c r="J88" s="54" t="e">
        <f>#REF!</f>
        <v>#REF!</v>
      </c>
      <c r="K88" s="54" t="e">
        <f>#REF!</f>
        <v>#REF!</v>
      </c>
      <c r="L88" s="54" t="e">
        <f>#REF!</f>
        <v>#REF!</v>
      </c>
      <c r="M88" s="54" t="e">
        <f>#REF!</f>
        <v>#REF!</v>
      </c>
      <c r="N88" s="54" t="e">
        <f>#REF!</f>
        <v>#REF!</v>
      </c>
      <c r="O88" s="54" t="e">
        <f>#REF!</f>
        <v>#REF!</v>
      </c>
      <c r="P88" s="54"/>
    </row>
    <row r="89" spans="3:16" hidden="1" x14ac:dyDescent="0.3">
      <c r="C89" s="33" t="s">
        <v>131</v>
      </c>
      <c r="D89" s="54" t="e">
        <f>#REF!</f>
        <v>#REF!</v>
      </c>
      <c r="E89" s="54" t="e">
        <f>#REF!</f>
        <v>#REF!</v>
      </c>
      <c r="F89" s="54" t="e">
        <f>#REF!</f>
        <v>#REF!</v>
      </c>
      <c r="G89" s="54" t="e">
        <f>#REF!</f>
        <v>#REF!</v>
      </c>
      <c r="H89" s="54" t="e">
        <f>#REF!</f>
        <v>#REF!</v>
      </c>
      <c r="I89" s="54" t="e">
        <f>#REF!</f>
        <v>#REF!</v>
      </c>
      <c r="J89" s="54" t="e">
        <f>#REF!</f>
        <v>#REF!</v>
      </c>
      <c r="K89" s="54" t="e">
        <f>#REF!</f>
        <v>#REF!</v>
      </c>
      <c r="L89" s="54" t="e">
        <f>#REF!</f>
        <v>#REF!</v>
      </c>
      <c r="M89" s="54" t="e">
        <f>#REF!</f>
        <v>#REF!</v>
      </c>
      <c r="N89" s="54" t="e">
        <f>#REF!</f>
        <v>#REF!</v>
      </c>
      <c r="O89" s="54" t="e">
        <f>#REF!</f>
        <v>#REF!</v>
      </c>
      <c r="P89" s="54"/>
    </row>
    <row r="90" spans="3:16" hidden="1" x14ac:dyDescent="0.3">
      <c r="C90" s="33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</row>
    <row r="91" spans="3:16" hidden="1" x14ac:dyDescent="0.3">
      <c r="C91" s="33" t="s">
        <v>132</v>
      </c>
      <c r="D91" s="54" t="e">
        <f>#REF!</f>
        <v>#REF!</v>
      </c>
      <c r="E91" s="54" t="e">
        <f>#REF!</f>
        <v>#REF!</v>
      </c>
      <c r="F91" s="54" t="e">
        <f>#REF!</f>
        <v>#REF!</v>
      </c>
      <c r="G91" s="54" t="e">
        <f>#REF!</f>
        <v>#REF!</v>
      </c>
      <c r="H91" s="54" t="e">
        <f>#REF!</f>
        <v>#REF!</v>
      </c>
      <c r="I91" s="54" t="e">
        <f>#REF!</f>
        <v>#REF!</v>
      </c>
      <c r="J91" s="54" t="e">
        <f>#REF!</f>
        <v>#REF!</v>
      </c>
      <c r="K91" s="54" t="e">
        <f>#REF!</f>
        <v>#REF!</v>
      </c>
      <c r="L91" s="54" t="e">
        <f>#REF!</f>
        <v>#REF!</v>
      </c>
      <c r="M91" s="54" t="e">
        <f>#REF!</f>
        <v>#REF!</v>
      </c>
      <c r="N91" s="54" t="e">
        <f>#REF!</f>
        <v>#REF!</v>
      </c>
      <c r="O91" s="54" t="e">
        <f>#REF!</f>
        <v>#REF!</v>
      </c>
      <c r="P91" s="54"/>
    </row>
    <row r="92" spans="3:16" hidden="1" x14ac:dyDescent="0.3">
      <c r="C92" s="33" t="s">
        <v>140</v>
      </c>
      <c r="D92" s="54">
        <f t="shared" ref="D92:O92" si="27">D614</f>
        <v>49.479107216666669</v>
      </c>
      <c r="E92" s="54">
        <f t="shared" si="27"/>
        <v>49.479107216666669</v>
      </c>
      <c r="F92" s="54">
        <f t="shared" si="27"/>
        <v>49.479107216666669</v>
      </c>
      <c r="G92" s="54">
        <f t="shared" si="27"/>
        <v>49.479107216666669</v>
      </c>
      <c r="H92" s="54">
        <f t="shared" si="27"/>
        <v>49.479107216666669</v>
      </c>
      <c r="I92" s="54">
        <f t="shared" si="27"/>
        <v>49.479107216666669</v>
      </c>
      <c r="J92" s="54">
        <f t="shared" si="27"/>
        <v>49.479107216666669</v>
      </c>
      <c r="K92" s="54">
        <f t="shared" si="27"/>
        <v>49.479107216666669</v>
      </c>
      <c r="L92" s="54">
        <f t="shared" si="27"/>
        <v>49.479107216666669</v>
      </c>
      <c r="M92" s="54">
        <f t="shared" si="27"/>
        <v>49.479107216666669</v>
      </c>
      <c r="N92" s="54">
        <f t="shared" si="27"/>
        <v>49.479107216666669</v>
      </c>
      <c r="O92" s="54">
        <f t="shared" si="27"/>
        <v>49.479107216666669</v>
      </c>
      <c r="P92" s="54"/>
    </row>
    <row r="93" spans="3:16" hidden="1" x14ac:dyDescent="0.3">
      <c r="C93" s="33" t="s">
        <v>141</v>
      </c>
      <c r="D93" s="54" t="e">
        <f>#REF!</f>
        <v>#REF!</v>
      </c>
      <c r="E93" s="54" t="e">
        <f>#REF!</f>
        <v>#REF!</v>
      </c>
      <c r="F93" s="54" t="e">
        <f>#REF!</f>
        <v>#REF!</v>
      </c>
      <c r="G93" s="54" t="e">
        <f>#REF!</f>
        <v>#REF!</v>
      </c>
      <c r="H93" s="54" t="e">
        <f>#REF!</f>
        <v>#REF!</v>
      </c>
      <c r="I93" s="54" t="e">
        <f>#REF!</f>
        <v>#REF!</v>
      </c>
      <c r="J93" s="54" t="e">
        <f>#REF!</f>
        <v>#REF!</v>
      </c>
      <c r="K93" s="54" t="e">
        <f>#REF!</f>
        <v>#REF!</v>
      </c>
      <c r="L93" s="54" t="e">
        <f>#REF!</f>
        <v>#REF!</v>
      </c>
      <c r="M93" s="54" t="e">
        <f>#REF!</f>
        <v>#REF!</v>
      </c>
      <c r="N93" s="54" t="e">
        <f>#REF!</f>
        <v>#REF!</v>
      </c>
      <c r="O93" s="54" t="e">
        <f>#REF!</f>
        <v>#REF!</v>
      </c>
      <c r="P93" s="54"/>
    </row>
    <row r="94" spans="3:16" hidden="1" x14ac:dyDescent="0.3">
      <c r="C94" s="33" t="s">
        <v>135</v>
      </c>
      <c r="D94" s="54">
        <f t="shared" ref="D94:O94" si="28">D808</f>
        <v>103.24022370333333</v>
      </c>
      <c r="E94" s="54">
        <f t="shared" si="28"/>
        <v>103.24022370333333</v>
      </c>
      <c r="F94" s="54">
        <f t="shared" si="28"/>
        <v>103.24022370333333</v>
      </c>
      <c r="G94" s="54">
        <f t="shared" si="28"/>
        <v>103.24022370333333</v>
      </c>
      <c r="H94" s="54">
        <f t="shared" si="28"/>
        <v>103.24022370333333</v>
      </c>
      <c r="I94" s="54">
        <f t="shared" si="28"/>
        <v>103.24022370333333</v>
      </c>
      <c r="J94" s="54">
        <f t="shared" si="28"/>
        <v>103.24022370333333</v>
      </c>
      <c r="K94" s="54">
        <f t="shared" si="28"/>
        <v>103.24022370333333</v>
      </c>
      <c r="L94" s="54">
        <f t="shared" si="28"/>
        <v>103.24022370333333</v>
      </c>
      <c r="M94" s="54">
        <f t="shared" si="28"/>
        <v>103.24022370333333</v>
      </c>
      <c r="N94" s="54">
        <f t="shared" si="28"/>
        <v>103.24022370333333</v>
      </c>
      <c r="O94" s="54">
        <f t="shared" si="28"/>
        <v>103.24022370333333</v>
      </c>
      <c r="P94" s="54"/>
    </row>
    <row r="95" spans="3:16" hidden="1" x14ac:dyDescent="0.3">
      <c r="C95" s="33" t="s">
        <v>136</v>
      </c>
      <c r="D95" s="54" t="e">
        <f>#REF!</f>
        <v>#REF!</v>
      </c>
      <c r="E95" s="54" t="e">
        <f>#REF!</f>
        <v>#REF!</v>
      </c>
      <c r="F95" s="54" t="e">
        <f>#REF!</f>
        <v>#REF!</v>
      </c>
      <c r="G95" s="54" t="e">
        <f>#REF!</f>
        <v>#REF!</v>
      </c>
      <c r="H95" s="54" t="e">
        <f>#REF!</f>
        <v>#REF!</v>
      </c>
      <c r="I95" s="54" t="e">
        <f>#REF!</f>
        <v>#REF!</v>
      </c>
      <c r="J95" s="54" t="e">
        <f>#REF!</f>
        <v>#REF!</v>
      </c>
      <c r="K95" s="54" t="e">
        <f>#REF!</f>
        <v>#REF!</v>
      </c>
      <c r="L95" s="54" t="e">
        <f>#REF!</f>
        <v>#REF!</v>
      </c>
      <c r="M95" s="54" t="e">
        <f>#REF!</f>
        <v>#REF!</v>
      </c>
      <c r="N95" s="54" t="e">
        <f>#REF!</f>
        <v>#REF!</v>
      </c>
      <c r="O95" s="54" t="e">
        <f>#REF!</f>
        <v>#REF!</v>
      </c>
      <c r="P95" s="54"/>
    </row>
    <row r="96" spans="3:16" hidden="1" x14ac:dyDescent="0.3">
      <c r="C96" s="33" t="s">
        <v>137</v>
      </c>
      <c r="D96" s="54">
        <f t="shared" ref="D96:O96" si="29">D653</f>
        <v>0</v>
      </c>
      <c r="E96" s="54">
        <f t="shared" si="29"/>
        <v>0</v>
      </c>
      <c r="F96" s="54">
        <f t="shared" si="29"/>
        <v>0</v>
      </c>
      <c r="G96" s="54">
        <f t="shared" si="29"/>
        <v>0</v>
      </c>
      <c r="H96" s="54">
        <f t="shared" si="29"/>
        <v>0</v>
      </c>
      <c r="I96" s="54">
        <f t="shared" si="29"/>
        <v>0</v>
      </c>
      <c r="J96" s="54">
        <f t="shared" si="29"/>
        <v>0</v>
      </c>
      <c r="K96" s="54">
        <f t="shared" si="29"/>
        <v>0</v>
      </c>
      <c r="L96" s="54">
        <f t="shared" si="29"/>
        <v>0</v>
      </c>
      <c r="M96" s="54">
        <f t="shared" si="29"/>
        <v>0</v>
      </c>
      <c r="N96" s="54">
        <f t="shared" si="29"/>
        <v>0</v>
      </c>
      <c r="O96" s="54">
        <f t="shared" si="29"/>
        <v>0</v>
      </c>
      <c r="P96" s="54"/>
    </row>
    <row r="97" spans="1:19" ht="13.5" hidden="1" thickBot="1" x14ac:dyDescent="0.35">
      <c r="C97" s="34" t="s">
        <v>138</v>
      </c>
      <c r="D97" s="34" t="e">
        <f>#REF!</f>
        <v>#REF!</v>
      </c>
      <c r="E97" s="34" t="e">
        <f>#REF!</f>
        <v>#REF!</v>
      </c>
      <c r="F97" s="34" t="e">
        <f>#REF!</f>
        <v>#REF!</v>
      </c>
      <c r="G97" s="34" t="e">
        <f>#REF!</f>
        <v>#REF!</v>
      </c>
      <c r="H97" s="34" t="e">
        <f>#REF!</f>
        <v>#REF!</v>
      </c>
      <c r="I97" s="34" t="e">
        <f>#REF!</f>
        <v>#REF!</v>
      </c>
      <c r="J97" s="34" t="e">
        <f>#REF!</f>
        <v>#REF!</v>
      </c>
      <c r="K97" s="34" t="e">
        <f>#REF!</f>
        <v>#REF!</v>
      </c>
      <c r="L97" s="34" t="e">
        <f>#REF!</f>
        <v>#REF!</v>
      </c>
      <c r="M97" s="34" t="e">
        <f>#REF!</f>
        <v>#REF!</v>
      </c>
      <c r="N97" s="34" t="e">
        <f>#REF!</f>
        <v>#REF!</v>
      </c>
      <c r="O97" s="34" t="e">
        <f>#REF!</f>
        <v>#REF!</v>
      </c>
      <c r="P97" s="34"/>
    </row>
    <row r="98" spans="1:19" x14ac:dyDescent="0.3"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18"/>
    </row>
    <row r="99" spans="1:19" ht="13.5" thickBot="1" x14ac:dyDescent="0.35">
      <c r="C99" s="69" t="s">
        <v>142</v>
      </c>
    </row>
    <row r="100" spans="1:19" ht="13.5" thickBot="1" x14ac:dyDescent="0.35">
      <c r="C100" s="23" t="s">
        <v>69</v>
      </c>
      <c r="D100" s="24" t="s">
        <v>70</v>
      </c>
      <c r="E100" s="24" t="s">
        <v>71</v>
      </c>
      <c r="F100" s="24" t="s">
        <v>72</v>
      </c>
      <c r="G100" s="24" t="s">
        <v>73</v>
      </c>
      <c r="H100" s="24" t="s">
        <v>74</v>
      </c>
      <c r="I100" s="24" t="s">
        <v>75</v>
      </c>
      <c r="J100" s="24" t="s">
        <v>76</v>
      </c>
      <c r="K100" s="24" t="s">
        <v>77</v>
      </c>
      <c r="L100" s="24" t="s">
        <v>78</v>
      </c>
      <c r="M100" s="24" t="s">
        <v>79</v>
      </c>
      <c r="N100" s="24" t="s">
        <v>80</v>
      </c>
      <c r="O100" s="24" t="s">
        <v>81</v>
      </c>
      <c r="P100" s="25" t="s">
        <v>143</v>
      </c>
      <c r="Q100" s="25"/>
      <c r="R100" s="25"/>
    </row>
    <row r="101" spans="1:19" s="29" customFormat="1" ht="15.75" customHeight="1" thickBot="1" x14ac:dyDescent="0.4">
      <c r="C101" s="70" t="s">
        <v>144</v>
      </c>
      <c r="D101" s="71">
        <f>'[5]Rekap All (B. Model)'!C25</f>
        <v>50961.164218390804</v>
      </c>
      <c r="E101" s="71">
        <f>'[5]Rekap All (B. Model)'!D25</f>
        <v>53572.904218390802</v>
      </c>
      <c r="F101" s="71">
        <f>'[5]Rekap All (B. Model)'!E25</f>
        <v>54956.569624521071</v>
      </c>
      <c r="G101" s="71">
        <f>'[5]Rekap All (B. Model)'!F25</f>
        <v>43595.647624521072</v>
      </c>
      <c r="H101" s="71">
        <f>'[5]Rekap All (B. Model)'!G25</f>
        <v>59067.63362452107</v>
      </c>
      <c r="I101" s="71">
        <f>'[5]Rekap All (B. Model)'!H25</f>
        <v>61020.913624521068</v>
      </c>
      <c r="J101" s="71">
        <f>'[5]Rekap All (B. Model)'!I25</f>
        <v>68758.814624521066</v>
      </c>
      <c r="K101" s="71">
        <f>'[5]Rekap All (B. Model)'!J25</f>
        <v>67145.662030651336</v>
      </c>
      <c r="L101" s="71">
        <f>'[5]Rekap All (B. Model)'!K25</f>
        <v>68539.099030651341</v>
      </c>
      <c r="M101" s="71">
        <f>'[5]Rekap All (B. Model)'!L25</f>
        <v>79333.478830651336</v>
      </c>
      <c r="N101" s="71">
        <f>'[5]Rekap All (B. Model)'!M25</f>
        <v>70035.506030651333</v>
      </c>
      <c r="O101" s="71">
        <f>'[5]Rekap All (B. Model)'!N25</f>
        <v>65190.76062452107</v>
      </c>
      <c r="P101" s="71">
        <f>SUM(D101:O101)</f>
        <v>742178.15410651348</v>
      </c>
      <c r="Q101" s="71"/>
      <c r="R101" s="71"/>
      <c r="S101" s="28"/>
    </row>
    <row r="102" spans="1:19" s="29" customFormat="1" ht="15.75" customHeight="1" thickBot="1" x14ac:dyDescent="0.4">
      <c r="C102" s="72" t="s">
        <v>145</v>
      </c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28"/>
    </row>
    <row r="103" spans="1:19" s="29" customFormat="1" ht="15.75" customHeight="1" x14ac:dyDescent="0.35">
      <c r="C103" s="70" t="s">
        <v>87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5"/>
      <c r="Q103" s="75"/>
      <c r="R103" s="75"/>
      <c r="S103" s="28"/>
    </row>
    <row r="104" spans="1:19" s="29" customFormat="1" ht="15.75" customHeight="1" x14ac:dyDescent="0.3">
      <c r="C104" s="76" t="s">
        <v>88</v>
      </c>
      <c r="D104" s="77">
        <f>'[5]Rekap All (B. Model)'!C30/1000</f>
        <v>19341.65065045045</v>
      </c>
      <c r="E104" s="77">
        <f>'[5]Rekap All (B. Model)'!D30/1000</f>
        <v>18504.292526126123</v>
      </c>
      <c r="F104" s="77">
        <f>'[5]Rekap All (B. Model)'!E30/1000</f>
        <v>18442.34170810811</v>
      </c>
      <c r="G104" s="77">
        <f>'[5]Rekap All (B. Model)'!F30/1000</f>
        <v>13023.172099099096</v>
      </c>
      <c r="H104" s="77">
        <f>'[5]Rekap All (B. Model)'!G30/1000</f>
        <v>20577.960947747746</v>
      </c>
      <c r="I104" s="77">
        <f>'[5]Rekap All (B. Model)'!H30/1000</f>
        <v>24343.778097297294</v>
      </c>
      <c r="J104" s="77">
        <f>'[5]Rekap All (B. Model)'!I30/1000</f>
        <v>24141.979227027023</v>
      </c>
      <c r="K104" s="77">
        <f>'[5]Rekap All (B. Model)'!J30/1000</f>
        <v>25532.47204504504</v>
      </c>
      <c r="L104" s="77">
        <f>'[5]Rekap All (B. Model)'!K30/1000</f>
        <v>26200.549388288291</v>
      </c>
      <c r="M104" s="77">
        <f>'[5]Rekap All (B. Model)'!L30/1000</f>
        <v>27578.97741477477</v>
      </c>
      <c r="N104" s="77">
        <f>'[5]Rekap All (B. Model)'!M30/1000</f>
        <v>27077.590073873875</v>
      </c>
      <c r="O104" s="77">
        <f>'[5]Rekap All (B. Model)'!N30/1000</f>
        <v>25586.795563063064</v>
      </c>
      <c r="P104" s="62">
        <f t="shared" ref="P104:P105" si="30">SUM(D104:O104)</f>
        <v>270351.55974090088</v>
      </c>
      <c r="Q104" s="62"/>
      <c r="R104" s="62"/>
      <c r="S104" s="28"/>
    </row>
    <row r="105" spans="1:19" s="29" customFormat="1" ht="15.75" customHeight="1" x14ac:dyDescent="0.3">
      <c r="C105" s="76" t="s">
        <v>89</v>
      </c>
      <c r="D105" s="77">
        <f>'[5]Rekap All (B. Model)'!C31/1000</f>
        <v>183.82974500000003</v>
      </c>
      <c r="E105" s="77">
        <f>'[5]Rekap All (B. Model)'!D31/1000</f>
        <v>237.35108600000001</v>
      </c>
      <c r="F105" s="77">
        <f>'[5]Rekap All (B. Model)'!E31/1000</f>
        <v>221.22274999999999</v>
      </c>
      <c r="G105" s="77">
        <f>'[5]Rekap All (B. Model)'!F31/1000</f>
        <v>816.75874699999997</v>
      </c>
      <c r="H105" s="77">
        <f>'[5]Rekap All (B. Model)'!G31/1000</f>
        <v>871.43005699999992</v>
      </c>
      <c r="I105" s="77">
        <f>'[5]Rekap All (B. Model)'!H31/1000</f>
        <v>726.92238100000009</v>
      </c>
      <c r="J105" s="77">
        <f>'[5]Rekap All (B. Model)'!I31/1000</f>
        <v>248.65001899999999</v>
      </c>
      <c r="K105" s="77">
        <f>'[5]Rekap All (B. Model)'!J31/1000</f>
        <v>263.13183999999995</v>
      </c>
      <c r="L105" s="77">
        <f>'[5]Rekap All (B. Model)'!K31/1000</f>
        <v>955.07694000000015</v>
      </c>
      <c r="M105" s="77">
        <f>'[5]Rekap All (B. Model)'!L31/1000</f>
        <v>663.20895999999993</v>
      </c>
      <c r="N105" s="77">
        <f>'[5]Rekap All (B. Model)'!M31/1000</f>
        <v>654.85316300000011</v>
      </c>
      <c r="O105" s="77">
        <f>'[5]Rekap All (B. Model)'!N31/1000</f>
        <v>199.20456099999998</v>
      </c>
      <c r="P105" s="62">
        <f t="shared" si="30"/>
        <v>6041.640249</v>
      </c>
      <c r="Q105" s="62"/>
      <c r="R105" s="62"/>
      <c r="S105" s="28"/>
    </row>
    <row r="106" spans="1:19" s="78" customFormat="1" ht="15.75" customHeight="1" x14ac:dyDescent="0.3">
      <c r="C106" s="79" t="s">
        <v>90</v>
      </c>
      <c r="D106" s="77">
        <f>'[5]Rekap All (B. Model)'!C32/1000</f>
        <v>254.56200000000001</v>
      </c>
      <c r="E106" s="77">
        <f>'[5]Rekap All (B. Model)'!D32/1000</f>
        <v>2659.2467999999999</v>
      </c>
      <c r="F106" s="77">
        <f>'[5]Rekap All (B. Model)'!E32/1000</f>
        <v>2659.2467999999999</v>
      </c>
      <c r="G106" s="77">
        <f>'[5]Rekap All (B. Model)'!F32/1000</f>
        <v>254.56200000000001</v>
      </c>
      <c r="H106" s="77">
        <f>'[5]Rekap All (B. Model)'!G32/1000</f>
        <v>2659.2467999999999</v>
      </c>
      <c r="I106" s="77">
        <f>'[5]Rekap All (B. Model)'!H32/1000</f>
        <v>254.56200000000001</v>
      </c>
      <c r="J106" s="77">
        <f>'[5]Rekap All (B. Model)'!I32/1000</f>
        <v>2659.2467999999999</v>
      </c>
      <c r="K106" s="77">
        <f>'[5]Rekap All (B. Model)'!J32/1000</f>
        <v>2659.2467999999999</v>
      </c>
      <c r="L106" s="77">
        <f>'[5]Rekap All (B. Model)'!K32/1000</f>
        <v>2659.2467999999999</v>
      </c>
      <c r="M106" s="77">
        <f>'[5]Rekap All (B. Model)'!L32/1000</f>
        <v>2659.2467999999999</v>
      </c>
      <c r="N106" s="77">
        <f>'[5]Rekap All (B. Model)'!M32/1000</f>
        <v>2659.2467999999999</v>
      </c>
      <c r="O106" s="77">
        <f>'[5]Rekap All (B. Model)'!N32/1000</f>
        <v>2659.2467999999999</v>
      </c>
      <c r="P106" s="62">
        <f>SUM(D106:O106)</f>
        <v>24696.907200000001</v>
      </c>
      <c r="Q106" s="62"/>
      <c r="R106" s="62"/>
      <c r="S106" s="80"/>
    </row>
    <row r="107" spans="1:19" x14ac:dyDescent="0.3">
      <c r="C107" s="38" t="s">
        <v>91</v>
      </c>
      <c r="D107" s="77">
        <f>'[5]Rekap All (B. Model)'!C33/1000</f>
        <v>128.40486486486486</v>
      </c>
      <c r="E107" s="77">
        <f>'[5]Rekap All (B. Model)'!D33/1000</f>
        <v>139.54486486486485</v>
      </c>
      <c r="F107" s="77">
        <f>'[5]Rekap All (B. Model)'!E33/1000</f>
        <v>106.99297297297296</v>
      </c>
      <c r="G107" s="77">
        <f>'[5]Rekap All (B. Model)'!F33/1000</f>
        <v>145.13999999999999</v>
      </c>
      <c r="H107" s="77">
        <f>'[5]Rekap All (B. Model)'!G33/1000</f>
        <v>121.78108108108106</v>
      </c>
      <c r="I107" s="77">
        <f>'[5]Rekap All (B. Model)'!H33/1000</f>
        <v>130.52810810810809</v>
      </c>
      <c r="J107" s="77">
        <f>'[5]Rekap All (B. Model)'!I33/1000</f>
        <v>109.64810810810809</v>
      </c>
      <c r="K107" s="77">
        <f>'[5]Rekap All (B. Model)'!J33/1000</f>
        <v>120.53675675675674</v>
      </c>
      <c r="L107" s="77">
        <f>'[5]Rekap All (B. Model)'!K33/1000</f>
        <v>123.60324324324323</v>
      </c>
      <c r="M107" s="77">
        <f>'[5]Rekap All (B. Model)'!L33/1000</f>
        <v>124.61891891891891</v>
      </c>
      <c r="N107" s="77">
        <f>'[5]Rekap All (B. Model)'!M33/1000</f>
        <v>124.61891891891891</v>
      </c>
      <c r="O107" s="77">
        <f>'[5]Rekap All (B. Model)'!N33/1000</f>
        <v>124.61891891891891</v>
      </c>
      <c r="P107" s="62">
        <f t="shared" ref="P107:P111" si="31">SUM(D107:O107)</f>
        <v>1500.0367567567569</v>
      </c>
      <c r="Q107" s="62"/>
      <c r="R107" s="62"/>
    </row>
    <row r="108" spans="1:19" x14ac:dyDescent="0.3">
      <c r="C108" s="38" t="s">
        <v>92</v>
      </c>
      <c r="D108" s="77">
        <f>'[5]Rekap All (B. Model)'!C34/1000</f>
        <v>75.619</v>
      </c>
      <c r="E108" s="77">
        <f>'[5]Rekap All (B. Model)'!D34/1000</f>
        <v>75.975999999999999</v>
      </c>
      <c r="F108" s="77">
        <f>'[5]Rekap All (B. Model)'!E34/1000</f>
        <v>72.436000000000007</v>
      </c>
      <c r="G108" s="77">
        <f>'[5]Rekap All (B. Model)'!F34/1000</f>
        <v>51.563000000000002</v>
      </c>
      <c r="H108" s="77">
        <f>'[5]Rekap All (B. Model)'!G34/1000</f>
        <v>51.563000000000002</v>
      </c>
      <c r="I108" s="77">
        <f>'[5]Rekap All (B. Model)'!H34/1000</f>
        <v>73.962999999999994</v>
      </c>
      <c r="J108" s="77">
        <f>'[5]Rekap All (B. Model)'!I34/1000</f>
        <v>72.896000000000001</v>
      </c>
      <c r="K108" s="77">
        <f>'[5]Rekap All (B. Model)'!J34/1000</f>
        <v>74.911000000000001</v>
      </c>
      <c r="L108" s="77">
        <f>'[5]Rekap All (B. Model)'!K34/1000</f>
        <v>74.989000000000004</v>
      </c>
      <c r="M108" s="77">
        <f>'[5]Rekap All (B. Model)'!L34/1000</f>
        <v>74.540000000000006</v>
      </c>
      <c r="N108" s="77">
        <f>'[5]Rekap All (B. Model)'!M34/1000</f>
        <v>72.564999999999998</v>
      </c>
      <c r="O108" s="77">
        <f>'[5]Rekap All (B. Model)'!N34/1000</f>
        <v>69.064999999999998</v>
      </c>
      <c r="P108" s="62">
        <f t="shared" si="31"/>
        <v>840.08600000000001</v>
      </c>
      <c r="Q108" s="62"/>
      <c r="R108" s="62"/>
    </row>
    <row r="109" spans="1:19" x14ac:dyDescent="0.3">
      <c r="C109" s="38" t="s">
        <v>93</v>
      </c>
      <c r="D109" s="77">
        <f>'[5]Rekap All (B. Model)'!C35/1000</f>
        <v>1500</v>
      </c>
      <c r="E109" s="77">
        <f>'[5]Rekap All (B. Model)'!D35/1000</f>
        <v>1500</v>
      </c>
      <c r="F109" s="77">
        <f>'[5]Rekap All (B. Model)'!E35/1000</f>
        <v>2000</v>
      </c>
      <c r="G109" s="77">
        <f>'[5]Rekap All (B. Model)'!F35/1000</f>
        <v>7500</v>
      </c>
      <c r="H109" s="77">
        <f>'[5]Rekap All (B. Model)'!G35/1000</f>
        <v>2000</v>
      </c>
      <c r="I109" s="77">
        <f>'[5]Rekap All (B. Model)'!H35/1000</f>
        <v>2000</v>
      </c>
      <c r="J109" s="77">
        <f>'[5]Rekap All (B. Model)'!I35/1000</f>
        <v>7500</v>
      </c>
      <c r="K109" s="77">
        <f>'[5]Rekap All (B. Model)'!J35/1000</f>
        <v>2500</v>
      </c>
      <c r="L109" s="77">
        <f>'[5]Rekap All (B. Model)'!K35/1000</f>
        <v>2500</v>
      </c>
      <c r="M109" s="77">
        <f>'[5]Rekap All (B. Model)'!L35/1000</f>
        <v>8000</v>
      </c>
      <c r="N109" s="77">
        <f>'[5]Rekap All (B. Model)'!M35/1000</f>
        <v>2500</v>
      </c>
      <c r="O109" s="77">
        <f>'[5]Rekap All (B. Model)'!N35/1000</f>
        <v>2000</v>
      </c>
      <c r="P109" s="62">
        <f t="shared" si="31"/>
        <v>41500</v>
      </c>
      <c r="Q109" s="62"/>
      <c r="R109" s="62"/>
    </row>
    <row r="110" spans="1:19" x14ac:dyDescent="0.3">
      <c r="A110" s="81"/>
      <c r="B110" s="81"/>
      <c r="C110" s="38" t="s">
        <v>94</v>
      </c>
      <c r="D110" s="77">
        <f>'[5]Rekap All (B. Model)'!C36/1000</f>
        <v>269.17734000000002</v>
      </c>
      <c r="E110" s="77">
        <f>'[5]Rekap All (B. Model)'!D36/1000</f>
        <v>735.80692500000009</v>
      </c>
      <c r="F110" s="77">
        <f>'[5]Rekap All (B. Model)'!E36/1000</f>
        <v>260.49420000000003</v>
      </c>
      <c r="G110" s="77">
        <f>'[5]Rekap All (B. Model)'!F36/1000</f>
        <v>599.30989999999997</v>
      </c>
      <c r="H110" s="77">
        <f>'[5]Rekap All (B. Model)'!G36/1000</f>
        <v>387.61986250000001</v>
      </c>
      <c r="I110" s="77">
        <f>'[5]Rekap All (B. Model)'!H36/1000</f>
        <v>666.55680000000007</v>
      </c>
      <c r="J110" s="77">
        <f>'[5]Rekap All (B. Model)'!I36/1000</f>
        <v>408.70342499999998</v>
      </c>
      <c r="K110" s="77">
        <f>'[5]Rekap All (B. Model)'!J36/1000</f>
        <v>666.55680000000007</v>
      </c>
      <c r="L110" s="77">
        <f>'[5]Rekap All (B. Model)'!K36/1000</f>
        <v>440.14215000000002</v>
      </c>
      <c r="M110" s="77">
        <f>'[5]Rekap All (B. Model)'!L36/1000</f>
        <v>722.47980000000007</v>
      </c>
      <c r="N110" s="77">
        <f>'[5]Rekap All (B. Model)'!M36/1000</f>
        <v>238.78635</v>
      </c>
      <c r="O110" s="77">
        <f>'[5]Rekap All (B. Model)'!N36/1000</f>
        <v>607.2020500000001</v>
      </c>
      <c r="P110" s="62">
        <f t="shared" si="31"/>
        <v>6002.8356025000003</v>
      </c>
      <c r="Q110" s="62"/>
      <c r="R110" s="62"/>
    </row>
    <row r="111" spans="1:19" ht="13.5" thickBot="1" x14ac:dyDescent="0.35">
      <c r="C111" s="33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>
        <f t="shared" si="31"/>
        <v>0</v>
      </c>
      <c r="Q111" s="82"/>
      <c r="R111" s="62"/>
    </row>
    <row r="112" spans="1:19" ht="15.75" customHeight="1" thickBot="1" x14ac:dyDescent="0.35">
      <c r="C112" s="83" t="s">
        <v>146</v>
      </c>
      <c r="D112" s="84">
        <f>SUM(D104:D111)</f>
        <v>21753.243600315313</v>
      </c>
      <c r="E112" s="84">
        <f t="shared" ref="E112:O112" si="32">SUM(E104:E111)</f>
        <v>23852.218201990985</v>
      </c>
      <c r="F112" s="84">
        <f t="shared" si="32"/>
        <v>23762.734431081088</v>
      </c>
      <c r="G112" s="84">
        <f t="shared" si="32"/>
        <v>22390.505746099094</v>
      </c>
      <c r="H112" s="84">
        <f t="shared" si="32"/>
        <v>26669.601748328827</v>
      </c>
      <c r="I112" s="84">
        <f t="shared" si="32"/>
        <v>28196.310386405403</v>
      </c>
      <c r="J112" s="84">
        <f t="shared" si="32"/>
        <v>35141.123579135136</v>
      </c>
      <c r="K112" s="84">
        <f t="shared" si="32"/>
        <v>31816.855241801793</v>
      </c>
      <c r="L112" s="84">
        <f t="shared" si="32"/>
        <v>32953.607521531536</v>
      </c>
      <c r="M112" s="84">
        <f t="shared" si="32"/>
        <v>39823.07189369369</v>
      </c>
      <c r="N112" s="84">
        <f t="shared" si="32"/>
        <v>33327.660305792793</v>
      </c>
      <c r="O112" s="84">
        <f t="shared" si="32"/>
        <v>31246.132892981979</v>
      </c>
      <c r="P112" s="84">
        <f>SUM(P104:P111)</f>
        <v>350933.06554915768</v>
      </c>
      <c r="Q112" s="84">
        <f>Q18</f>
        <v>290084.51755744859</v>
      </c>
      <c r="R112" s="85">
        <f t="shared" ref="R112" si="33">(P112-Q112)/Q112</f>
        <v>0.20976144643658406</v>
      </c>
    </row>
    <row r="113" spans="1:20" x14ac:dyDescent="0.3">
      <c r="C113" s="86"/>
      <c r="D113" s="87"/>
      <c r="E113" s="88"/>
      <c r="F113" s="89"/>
      <c r="G113" s="89"/>
      <c r="H113" s="89"/>
      <c r="I113" s="89"/>
      <c r="J113" s="89"/>
      <c r="K113" s="89"/>
      <c r="L113" s="87"/>
      <c r="M113" s="89"/>
      <c r="N113" s="89"/>
      <c r="O113" s="89"/>
      <c r="P113" s="89"/>
      <c r="Q113" s="89"/>
      <c r="R113" s="89"/>
    </row>
    <row r="114" spans="1:20" x14ac:dyDescent="0.3">
      <c r="C114" s="90" t="s">
        <v>147</v>
      </c>
      <c r="D114" s="62">
        <f t="shared" ref="D114:O116" si="34">D232+D281+D330+D379+D428+D477+D526+D576+D626+D676+D726</f>
        <v>11420.273230833684</v>
      </c>
      <c r="E114" s="62">
        <f t="shared" si="34"/>
        <v>13108.737386124752</v>
      </c>
      <c r="F114" s="62">
        <f t="shared" si="34"/>
        <v>13277.465336928475</v>
      </c>
      <c r="G114" s="62">
        <f t="shared" si="34"/>
        <v>12505.9997486585</v>
      </c>
      <c r="H114" s="62">
        <f t="shared" si="34"/>
        <v>14789.730889719922</v>
      </c>
      <c r="I114" s="62">
        <f t="shared" si="34"/>
        <v>15090.647845996647</v>
      </c>
      <c r="J114" s="62">
        <f t="shared" si="34"/>
        <v>19898.029100538741</v>
      </c>
      <c r="K114" s="62">
        <f t="shared" si="34"/>
        <v>17851.80852373059</v>
      </c>
      <c r="L114" s="62">
        <f t="shared" si="34"/>
        <v>18437.916210210304</v>
      </c>
      <c r="M114" s="62">
        <f t="shared" si="34"/>
        <v>22405.079583103172</v>
      </c>
      <c r="N114" s="62">
        <f t="shared" si="34"/>
        <v>18589.75992795849</v>
      </c>
      <c r="O114" s="62">
        <f t="shared" si="34"/>
        <v>17396.016519662822</v>
      </c>
      <c r="P114" s="62">
        <f t="shared" ref="P114:P116" si="35">D114+E114+F114+G114+H114+I114+J114+K114+L114+M114+N114+O114</f>
        <v>194771.46430346608</v>
      </c>
      <c r="Q114" s="62">
        <f>'[6]PL COnly'!$AB$57*12/8+31593</f>
        <v>155449.78615285357</v>
      </c>
      <c r="R114" s="91">
        <f t="shared" ref="R114:R115" si="36">(P114-Q114)/Q114</f>
        <v>0.25295421192762246</v>
      </c>
      <c r="T114" s="20"/>
    </row>
    <row r="115" spans="1:20" x14ac:dyDescent="0.3">
      <c r="C115" s="33" t="s">
        <v>148</v>
      </c>
      <c r="D115" s="62">
        <f t="shared" si="34"/>
        <v>-62.360937499999999</v>
      </c>
      <c r="E115" s="62">
        <f t="shared" si="34"/>
        <v>-51.272500000000001</v>
      </c>
      <c r="F115" s="62">
        <f t="shared" si="34"/>
        <v>-45.5403375</v>
      </c>
      <c r="G115" s="62">
        <f t="shared" si="34"/>
        <v>-38.321249999999999</v>
      </c>
      <c r="H115" s="62">
        <f t="shared" si="34"/>
        <v>-75.057422500000001</v>
      </c>
      <c r="I115" s="62">
        <f t="shared" si="34"/>
        <v>-84.09375</v>
      </c>
      <c r="J115" s="62">
        <f t="shared" si="34"/>
        <v>-113.5597425</v>
      </c>
      <c r="K115" s="62">
        <f t="shared" si="34"/>
        <v>-119.08750000000001</v>
      </c>
      <c r="L115" s="62">
        <f t="shared" si="34"/>
        <v>-110.05500000000001</v>
      </c>
      <c r="M115" s="62">
        <f t="shared" si="34"/>
        <v>-108.88124999999999</v>
      </c>
      <c r="N115" s="62">
        <f t="shared" si="34"/>
        <v>-97.034999999999997</v>
      </c>
      <c r="O115" s="62">
        <f t="shared" si="34"/>
        <v>-77.517107499999995</v>
      </c>
      <c r="P115" s="62">
        <f t="shared" si="35"/>
        <v>-982.78179749999993</v>
      </c>
      <c r="Q115" s="62">
        <f>('[6]PL COnly'!$AB$66+'[6]PL COnly'!$AB$80)*12/8</f>
        <v>20387.946036825</v>
      </c>
      <c r="R115" s="91">
        <f t="shared" si="36"/>
        <v>-1.0482040611508823</v>
      </c>
      <c r="T115" s="20"/>
    </row>
    <row r="116" spans="1:20" x14ac:dyDescent="0.3">
      <c r="C116" s="90" t="s">
        <v>149</v>
      </c>
      <c r="D116" s="62">
        <f t="shared" si="34"/>
        <v>0</v>
      </c>
      <c r="E116" s="62">
        <f t="shared" si="34"/>
        <v>0</v>
      </c>
      <c r="F116" s="62">
        <f t="shared" si="34"/>
        <v>0</v>
      </c>
      <c r="G116" s="62">
        <f t="shared" si="34"/>
        <v>0</v>
      </c>
      <c r="H116" s="62">
        <f t="shared" si="34"/>
        <v>0</v>
      </c>
      <c r="I116" s="62">
        <f t="shared" si="34"/>
        <v>0</v>
      </c>
      <c r="J116" s="62">
        <f t="shared" si="34"/>
        <v>0</v>
      </c>
      <c r="K116" s="62">
        <f t="shared" si="34"/>
        <v>0</v>
      </c>
      <c r="L116" s="62">
        <f t="shared" si="34"/>
        <v>0</v>
      </c>
      <c r="M116" s="62">
        <f t="shared" si="34"/>
        <v>0</v>
      </c>
      <c r="N116" s="62">
        <f t="shared" si="34"/>
        <v>0</v>
      </c>
      <c r="O116" s="62">
        <f t="shared" si="34"/>
        <v>0</v>
      </c>
      <c r="P116" s="62">
        <f t="shared" si="35"/>
        <v>0</v>
      </c>
      <c r="Q116" s="62"/>
      <c r="R116" s="62"/>
      <c r="T116" s="20"/>
    </row>
    <row r="117" spans="1:20" ht="13.5" thickBot="1" x14ac:dyDescent="0.35">
      <c r="C117" s="90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T117" s="20"/>
    </row>
    <row r="118" spans="1:20" ht="13.5" thickBot="1" x14ac:dyDescent="0.35">
      <c r="A118" s="20"/>
      <c r="B118" s="20"/>
      <c r="C118" s="92" t="s">
        <v>150</v>
      </c>
      <c r="D118" s="93">
        <f t="shared" ref="D118:P118" si="37">SUM(D114:D117)</f>
        <v>11357.912293333684</v>
      </c>
      <c r="E118" s="93">
        <f t="shared" ref="E118:O118" si="38">SUM(E114:E117)</f>
        <v>13057.464886124753</v>
      </c>
      <c r="F118" s="93">
        <f t="shared" si="38"/>
        <v>13231.924999428475</v>
      </c>
      <c r="G118" s="93">
        <f t="shared" si="38"/>
        <v>12467.678498658499</v>
      </c>
      <c r="H118" s="93">
        <f t="shared" si="38"/>
        <v>14714.673467219922</v>
      </c>
      <c r="I118" s="93">
        <f t="shared" si="38"/>
        <v>15006.554095996647</v>
      </c>
      <c r="J118" s="93">
        <f t="shared" si="38"/>
        <v>19784.469358038739</v>
      </c>
      <c r="K118" s="93">
        <f t="shared" si="38"/>
        <v>17732.721023730588</v>
      </c>
      <c r="L118" s="93">
        <f t="shared" si="38"/>
        <v>18327.861210210303</v>
      </c>
      <c r="M118" s="93">
        <f t="shared" si="38"/>
        <v>22296.198333103173</v>
      </c>
      <c r="N118" s="93">
        <f t="shared" si="38"/>
        <v>18492.72492795849</v>
      </c>
      <c r="O118" s="93">
        <f t="shared" si="38"/>
        <v>17318.499412162822</v>
      </c>
      <c r="P118" s="93">
        <f t="shared" si="37"/>
        <v>193788.68250596608</v>
      </c>
      <c r="Q118" s="93">
        <f t="shared" ref="Q118" si="39">SUM(Q114:Q117)</f>
        <v>175837.73218967859</v>
      </c>
      <c r="R118" s="85">
        <f t="shared" ref="R118" si="40">(P118-Q118)/Q118</f>
        <v>0.10208815874014772</v>
      </c>
      <c r="T118" s="20"/>
    </row>
    <row r="119" spans="1:20" x14ac:dyDescent="0.3">
      <c r="C119" s="94"/>
      <c r="D119" s="43">
        <f>D118/D112</f>
        <v>0.52212499901251741</v>
      </c>
      <c r="E119" s="43">
        <f t="shared" ref="E119:P119" si="41">E118/E112</f>
        <v>0.54743188979525703</v>
      </c>
      <c r="F119" s="43">
        <f t="shared" si="41"/>
        <v>0.55683511667417507</v>
      </c>
      <c r="G119" s="43">
        <f t="shared" si="41"/>
        <v>0.55682880235211463</v>
      </c>
      <c r="H119" s="43">
        <f t="shared" si="41"/>
        <v>0.55173952749939259</v>
      </c>
      <c r="I119" s="43">
        <f t="shared" si="41"/>
        <v>0.53221694222914795</v>
      </c>
      <c r="J119" s="43">
        <f t="shared" si="41"/>
        <v>0.56300047758819149</v>
      </c>
      <c r="K119" s="43">
        <f t="shared" si="41"/>
        <v>0.55733732604826669</v>
      </c>
      <c r="L119" s="43">
        <f t="shared" si="41"/>
        <v>0.55617161787931946</v>
      </c>
      <c r="M119" s="43">
        <f t="shared" si="41"/>
        <v>0.55988142734498492</v>
      </c>
      <c r="N119" s="43">
        <f t="shared" si="41"/>
        <v>0.55487618267473182</v>
      </c>
      <c r="O119" s="43">
        <f t="shared" si="41"/>
        <v>0.55426056950723124</v>
      </c>
      <c r="P119" s="43">
        <f t="shared" si="41"/>
        <v>0.55220981301011296</v>
      </c>
      <c r="Q119" s="43" t="e">
        <f>Q118/Q111</f>
        <v>#DIV/0!</v>
      </c>
      <c r="R119" s="43">
        <f t="shared" ref="R119" si="42">R118/R112</f>
        <v>0.48668695069764134</v>
      </c>
      <c r="T119" s="20"/>
    </row>
    <row r="120" spans="1:20" x14ac:dyDescent="0.3">
      <c r="C120" s="90" t="s">
        <v>151</v>
      </c>
      <c r="D120" s="62">
        <f t="shared" ref="D120:O126" si="43">D238+D287+D336+D385+D434+D483+D532+D582+D632+D682+D732</f>
        <v>0</v>
      </c>
      <c r="E120" s="62">
        <f t="shared" si="43"/>
        <v>0</v>
      </c>
      <c r="F120" s="62">
        <f t="shared" si="43"/>
        <v>0</v>
      </c>
      <c r="G120" s="62">
        <f t="shared" si="43"/>
        <v>0</v>
      </c>
      <c r="H120" s="62">
        <f t="shared" si="43"/>
        <v>0</v>
      </c>
      <c r="I120" s="62">
        <f t="shared" si="43"/>
        <v>0</v>
      </c>
      <c r="J120" s="62">
        <f t="shared" si="43"/>
        <v>0</v>
      </c>
      <c r="K120" s="62">
        <f t="shared" si="43"/>
        <v>0</v>
      </c>
      <c r="L120" s="62">
        <f t="shared" si="43"/>
        <v>0</v>
      </c>
      <c r="M120" s="62">
        <f t="shared" si="43"/>
        <v>0</v>
      </c>
      <c r="N120" s="62">
        <f t="shared" si="43"/>
        <v>0</v>
      </c>
      <c r="O120" s="62">
        <f t="shared" si="43"/>
        <v>0</v>
      </c>
      <c r="P120" s="62">
        <f t="shared" ref="P120:P137" si="44">D120+E120+F120+G120+H120+I120+J120+K120+L120+M120+N120+O120</f>
        <v>0</v>
      </c>
      <c r="Q120" s="62">
        <f>'[6]PL COnly'!$AB$64*12/8</f>
        <v>14686.887052606748</v>
      </c>
      <c r="R120" s="91">
        <f>(P120+P121-Q120)/Q120</f>
        <v>-1</v>
      </c>
      <c r="T120" s="20"/>
    </row>
    <row r="121" spans="1:20" x14ac:dyDescent="0.3">
      <c r="C121" s="90" t="s">
        <v>152</v>
      </c>
      <c r="D121" s="62">
        <f t="shared" si="43"/>
        <v>0</v>
      </c>
      <c r="E121" s="62">
        <f t="shared" si="43"/>
        <v>0</v>
      </c>
      <c r="F121" s="62">
        <f t="shared" si="43"/>
        <v>0</v>
      </c>
      <c r="G121" s="62">
        <f t="shared" si="43"/>
        <v>0</v>
      </c>
      <c r="H121" s="62">
        <f t="shared" si="43"/>
        <v>0</v>
      </c>
      <c r="I121" s="62">
        <f t="shared" si="43"/>
        <v>0</v>
      </c>
      <c r="J121" s="62">
        <f t="shared" si="43"/>
        <v>0</v>
      </c>
      <c r="K121" s="62">
        <f t="shared" si="43"/>
        <v>0</v>
      </c>
      <c r="L121" s="62">
        <f t="shared" si="43"/>
        <v>0</v>
      </c>
      <c r="M121" s="62">
        <f t="shared" si="43"/>
        <v>0</v>
      </c>
      <c r="N121" s="62">
        <f t="shared" si="43"/>
        <v>0</v>
      </c>
      <c r="O121" s="62">
        <f t="shared" si="43"/>
        <v>0</v>
      </c>
      <c r="P121" s="62">
        <f t="shared" si="44"/>
        <v>0</v>
      </c>
      <c r="Q121" s="62"/>
      <c r="R121" s="62"/>
      <c r="T121" s="20"/>
    </row>
    <row r="122" spans="1:20" x14ac:dyDescent="0.3">
      <c r="C122" s="90" t="s">
        <v>153</v>
      </c>
      <c r="D122" s="62">
        <f t="shared" si="43"/>
        <v>0</v>
      </c>
      <c r="E122" s="62">
        <f t="shared" si="43"/>
        <v>0</v>
      </c>
      <c r="F122" s="62">
        <f t="shared" si="43"/>
        <v>0</v>
      </c>
      <c r="G122" s="62">
        <f t="shared" si="43"/>
        <v>0</v>
      </c>
      <c r="H122" s="62">
        <f t="shared" si="43"/>
        <v>0</v>
      </c>
      <c r="I122" s="62">
        <f t="shared" si="43"/>
        <v>0</v>
      </c>
      <c r="J122" s="62">
        <f t="shared" si="43"/>
        <v>0</v>
      </c>
      <c r="K122" s="62">
        <f t="shared" si="43"/>
        <v>0</v>
      </c>
      <c r="L122" s="62">
        <f t="shared" si="43"/>
        <v>0</v>
      </c>
      <c r="M122" s="62">
        <f t="shared" si="43"/>
        <v>0</v>
      </c>
      <c r="N122" s="62">
        <f t="shared" si="43"/>
        <v>0</v>
      </c>
      <c r="O122" s="62">
        <f t="shared" si="43"/>
        <v>0</v>
      </c>
      <c r="P122" s="62">
        <f t="shared" si="44"/>
        <v>0</v>
      </c>
      <c r="Q122" s="62">
        <f>'[6]PL COnly'!$AB$63*12/8</f>
        <v>1163.2429359663365</v>
      </c>
      <c r="R122" s="91">
        <f>(P122-Q122)/Q122</f>
        <v>-1</v>
      </c>
      <c r="T122" s="20"/>
    </row>
    <row r="123" spans="1:20" x14ac:dyDescent="0.3">
      <c r="C123" s="90" t="s">
        <v>154</v>
      </c>
      <c r="D123" s="62">
        <f t="shared" si="43"/>
        <v>0</v>
      </c>
      <c r="E123" s="62">
        <f t="shared" si="43"/>
        <v>0</v>
      </c>
      <c r="F123" s="62">
        <f t="shared" si="43"/>
        <v>0</v>
      </c>
      <c r="G123" s="62">
        <f t="shared" si="43"/>
        <v>0</v>
      </c>
      <c r="H123" s="62">
        <f t="shared" si="43"/>
        <v>0</v>
      </c>
      <c r="I123" s="62">
        <f t="shared" si="43"/>
        <v>0</v>
      </c>
      <c r="J123" s="62">
        <f t="shared" si="43"/>
        <v>0</v>
      </c>
      <c r="K123" s="62">
        <f t="shared" si="43"/>
        <v>0</v>
      </c>
      <c r="L123" s="62">
        <f t="shared" si="43"/>
        <v>0</v>
      </c>
      <c r="M123" s="62">
        <f t="shared" si="43"/>
        <v>0</v>
      </c>
      <c r="N123" s="62">
        <f t="shared" si="43"/>
        <v>0</v>
      </c>
      <c r="O123" s="62">
        <f t="shared" si="43"/>
        <v>0</v>
      </c>
      <c r="P123" s="62">
        <f t="shared" si="44"/>
        <v>0</v>
      </c>
      <c r="Q123" s="62"/>
      <c r="R123" s="62"/>
      <c r="T123" s="20"/>
    </row>
    <row r="124" spans="1:20" x14ac:dyDescent="0.3">
      <c r="C124" s="90" t="s">
        <v>155</v>
      </c>
      <c r="D124" s="62">
        <f t="shared" si="43"/>
        <v>0</v>
      </c>
      <c r="E124" s="62">
        <f t="shared" si="43"/>
        <v>0</v>
      </c>
      <c r="F124" s="62">
        <f t="shared" si="43"/>
        <v>0</v>
      </c>
      <c r="G124" s="62">
        <f t="shared" si="43"/>
        <v>0</v>
      </c>
      <c r="H124" s="62">
        <f t="shared" si="43"/>
        <v>0</v>
      </c>
      <c r="I124" s="62">
        <f t="shared" si="43"/>
        <v>0</v>
      </c>
      <c r="J124" s="62">
        <f t="shared" si="43"/>
        <v>0</v>
      </c>
      <c r="K124" s="62">
        <f t="shared" si="43"/>
        <v>0</v>
      </c>
      <c r="L124" s="62">
        <f t="shared" si="43"/>
        <v>0</v>
      </c>
      <c r="M124" s="62">
        <f t="shared" si="43"/>
        <v>0</v>
      </c>
      <c r="N124" s="62">
        <f t="shared" si="43"/>
        <v>0</v>
      </c>
      <c r="O124" s="62">
        <f t="shared" si="43"/>
        <v>0</v>
      </c>
      <c r="P124" s="62">
        <f t="shared" si="44"/>
        <v>0</v>
      </c>
      <c r="Q124" s="62">
        <f>'[6]PL COnly'!$AB$65*12/8</f>
        <v>1492.9533292967321</v>
      </c>
      <c r="R124" s="91">
        <f t="shared" ref="R124:R134" si="45">(P124-Q124)/Q124</f>
        <v>-1</v>
      </c>
      <c r="T124" s="20"/>
    </row>
    <row r="125" spans="1:20" x14ac:dyDescent="0.3">
      <c r="C125" s="90" t="s">
        <v>156</v>
      </c>
      <c r="D125" s="62">
        <f t="shared" si="43"/>
        <v>0</v>
      </c>
      <c r="E125" s="62">
        <f t="shared" si="43"/>
        <v>0</v>
      </c>
      <c r="F125" s="62">
        <f t="shared" si="43"/>
        <v>0</v>
      </c>
      <c r="G125" s="62">
        <f t="shared" si="43"/>
        <v>0</v>
      </c>
      <c r="H125" s="62">
        <f t="shared" si="43"/>
        <v>0</v>
      </c>
      <c r="I125" s="62">
        <f t="shared" si="43"/>
        <v>0</v>
      </c>
      <c r="J125" s="62">
        <f t="shared" si="43"/>
        <v>0</v>
      </c>
      <c r="K125" s="62">
        <f t="shared" si="43"/>
        <v>0</v>
      </c>
      <c r="L125" s="62">
        <f t="shared" si="43"/>
        <v>0</v>
      </c>
      <c r="M125" s="62">
        <f t="shared" si="43"/>
        <v>0</v>
      </c>
      <c r="N125" s="62">
        <f t="shared" si="43"/>
        <v>0</v>
      </c>
      <c r="O125" s="62">
        <f t="shared" si="43"/>
        <v>0</v>
      </c>
      <c r="P125" s="62">
        <f t="shared" si="44"/>
        <v>0</v>
      </c>
      <c r="Q125" s="62">
        <f>'[6]PL COnly'!$AB$68*12/8</f>
        <v>919.40491268542269</v>
      </c>
      <c r="R125" s="91">
        <f t="shared" si="45"/>
        <v>-1</v>
      </c>
      <c r="T125" s="20"/>
    </row>
    <row r="126" spans="1:20" x14ac:dyDescent="0.3">
      <c r="C126" s="90" t="s">
        <v>157</v>
      </c>
      <c r="D126" s="62">
        <f t="shared" si="43"/>
        <v>0</v>
      </c>
      <c r="E126" s="62">
        <f t="shared" si="43"/>
        <v>0</v>
      </c>
      <c r="F126" s="62">
        <f t="shared" si="43"/>
        <v>0</v>
      </c>
      <c r="G126" s="62">
        <f t="shared" si="43"/>
        <v>0</v>
      </c>
      <c r="H126" s="62">
        <f t="shared" si="43"/>
        <v>0</v>
      </c>
      <c r="I126" s="62">
        <f t="shared" si="43"/>
        <v>0</v>
      </c>
      <c r="J126" s="62">
        <f t="shared" si="43"/>
        <v>0</v>
      </c>
      <c r="K126" s="62">
        <f t="shared" si="43"/>
        <v>0</v>
      </c>
      <c r="L126" s="62">
        <f t="shared" si="43"/>
        <v>0</v>
      </c>
      <c r="M126" s="62">
        <f t="shared" si="43"/>
        <v>0</v>
      </c>
      <c r="N126" s="62">
        <f t="shared" si="43"/>
        <v>0</v>
      </c>
      <c r="O126" s="62">
        <f t="shared" si="43"/>
        <v>0</v>
      </c>
      <c r="P126" s="62">
        <f t="shared" si="44"/>
        <v>0</v>
      </c>
      <c r="Q126" s="62">
        <f>('[6]PL COnly'!$AB$60+'[6]PL COnly'!$AB$79)*12/8</f>
        <v>2086.1979548016825</v>
      </c>
      <c r="R126" s="91">
        <f t="shared" si="45"/>
        <v>-1</v>
      </c>
      <c r="T126" s="20"/>
    </row>
    <row r="127" spans="1:20" x14ac:dyDescent="0.3">
      <c r="B127" s="20"/>
      <c r="C127" s="90" t="s">
        <v>158</v>
      </c>
      <c r="D127" s="62">
        <f>D245+D294+D343+D392+D441+D490+D539+D589+D639+D689+D739+D789</f>
        <v>0</v>
      </c>
      <c r="E127" s="62">
        <f t="shared" ref="E127:O127" si="46">E245+E294+E343+E392+E441+E490+E539+E589+E639+E689+E739+E789</f>
        <v>50</v>
      </c>
      <c r="F127" s="62">
        <f t="shared" si="46"/>
        <v>55</v>
      </c>
      <c r="G127" s="62">
        <f t="shared" si="46"/>
        <v>42</v>
      </c>
      <c r="H127" s="62">
        <f t="shared" si="46"/>
        <v>22</v>
      </c>
      <c r="I127" s="62">
        <f t="shared" si="46"/>
        <v>0</v>
      </c>
      <c r="J127" s="62">
        <f t="shared" si="46"/>
        <v>50</v>
      </c>
      <c r="K127" s="62">
        <f t="shared" si="46"/>
        <v>0</v>
      </c>
      <c r="L127" s="62">
        <f t="shared" si="46"/>
        <v>20</v>
      </c>
      <c r="M127" s="62">
        <f t="shared" si="46"/>
        <v>0</v>
      </c>
      <c r="N127" s="62">
        <f t="shared" si="46"/>
        <v>20</v>
      </c>
      <c r="O127" s="62">
        <f t="shared" si="46"/>
        <v>0</v>
      </c>
      <c r="P127" s="62">
        <f t="shared" si="44"/>
        <v>259</v>
      </c>
      <c r="Q127" s="62">
        <f>'[6]PL COnly'!$AB$74*12/8</f>
        <v>3.7944374999999999</v>
      </c>
      <c r="R127" s="91">
        <f t="shared" si="45"/>
        <v>67.25781159921597</v>
      </c>
      <c r="T127" s="20"/>
    </row>
    <row r="128" spans="1:20" x14ac:dyDescent="0.3">
      <c r="C128" s="90" t="s">
        <v>159</v>
      </c>
      <c r="D128" s="62">
        <f t="shared" ref="D128:O132" si="47">D246+D295+D344+D393+D442+D491+D540+D590+D640+D690+D740+D790</f>
        <v>0</v>
      </c>
      <c r="E128" s="62">
        <f t="shared" si="47"/>
        <v>0</v>
      </c>
      <c r="F128" s="62">
        <f t="shared" si="47"/>
        <v>0</v>
      </c>
      <c r="G128" s="62">
        <f t="shared" si="47"/>
        <v>0</v>
      </c>
      <c r="H128" s="62">
        <f t="shared" si="47"/>
        <v>0</v>
      </c>
      <c r="I128" s="62">
        <f t="shared" si="47"/>
        <v>0</v>
      </c>
      <c r="J128" s="62">
        <f t="shared" si="47"/>
        <v>0</v>
      </c>
      <c r="K128" s="62">
        <f t="shared" si="47"/>
        <v>0</v>
      </c>
      <c r="L128" s="62">
        <f t="shared" si="47"/>
        <v>0</v>
      </c>
      <c r="M128" s="62">
        <f t="shared" si="47"/>
        <v>0</v>
      </c>
      <c r="N128" s="62">
        <f t="shared" si="47"/>
        <v>0</v>
      </c>
      <c r="O128" s="62">
        <f t="shared" si="47"/>
        <v>0</v>
      </c>
      <c r="P128" s="62">
        <f t="shared" si="44"/>
        <v>0</v>
      </c>
      <c r="Q128" s="62">
        <f>'[6]PL COnly'!$AB$70*12/8</f>
        <v>114.95146142999999</v>
      </c>
      <c r="R128" s="91">
        <f t="shared" si="45"/>
        <v>-1</v>
      </c>
      <c r="T128" s="20"/>
    </row>
    <row r="129" spans="2:20" x14ac:dyDescent="0.3">
      <c r="C129" s="90" t="s">
        <v>160</v>
      </c>
      <c r="D129" s="62">
        <f t="shared" si="47"/>
        <v>0</v>
      </c>
      <c r="E129" s="62">
        <f t="shared" si="47"/>
        <v>0</v>
      </c>
      <c r="F129" s="62">
        <f t="shared" si="47"/>
        <v>0</v>
      </c>
      <c r="G129" s="62">
        <f t="shared" si="47"/>
        <v>0</v>
      </c>
      <c r="H129" s="62">
        <f t="shared" si="47"/>
        <v>0</v>
      </c>
      <c r="I129" s="62">
        <f t="shared" si="47"/>
        <v>0</v>
      </c>
      <c r="J129" s="62">
        <f t="shared" si="47"/>
        <v>0</v>
      </c>
      <c r="K129" s="62">
        <f t="shared" si="47"/>
        <v>0</v>
      </c>
      <c r="L129" s="62">
        <f t="shared" si="47"/>
        <v>0</v>
      </c>
      <c r="M129" s="62">
        <f t="shared" si="47"/>
        <v>0</v>
      </c>
      <c r="N129" s="62">
        <f t="shared" si="47"/>
        <v>0</v>
      </c>
      <c r="O129" s="62">
        <f t="shared" si="47"/>
        <v>0</v>
      </c>
      <c r="P129" s="62">
        <f t="shared" si="44"/>
        <v>0</v>
      </c>
      <c r="Q129" s="62">
        <f>'[6]PL COnly'!$AB$69*12/8</f>
        <v>131.63392199999998</v>
      </c>
      <c r="R129" s="91">
        <f t="shared" si="45"/>
        <v>-1</v>
      </c>
    </row>
    <row r="130" spans="2:20" x14ac:dyDescent="0.3">
      <c r="C130" s="90" t="s">
        <v>161</v>
      </c>
      <c r="D130" s="62">
        <f t="shared" si="47"/>
        <v>82.218266999999997</v>
      </c>
      <c r="E130" s="62">
        <f t="shared" si="47"/>
        <v>86.384933666666669</v>
      </c>
      <c r="F130" s="62">
        <f t="shared" si="47"/>
        <v>86.384933666666669</v>
      </c>
      <c r="G130" s="62">
        <f t="shared" si="47"/>
        <v>88.884933666666669</v>
      </c>
      <c r="H130" s="62">
        <f t="shared" si="47"/>
        <v>88.884933666666669</v>
      </c>
      <c r="I130" s="62">
        <f t="shared" si="47"/>
        <v>88.884933666666669</v>
      </c>
      <c r="J130" s="62">
        <f t="shared" si="47"/>
        <v>88.884933666666669</v>
      </c>
      <c r="K130" s="62">
        <f t="shared" si="47"/>
        <v>88.884933666666669</v>
      </c>
      <c r="L130" s="62">
        <f t="shared" si="47"/>
        <v>88.884933666666669</v>
      </c>
      <c r="M130" s="62">
        <f t="shared" si="47"/>
        <v>88.884933666666669</v>
      </c>
      <c r="N130" s="62">
        <f t="shared" si="47"/>
        <v>88.884933666666669</v>
      </c>
      <c r="O130" s="62">
        <f t="shared" si="47"/>
        <v>88.884933666666669</v>
      </c>
      <c r="P130" s="62">
        <f t="shared" si="44"/>
        <v>1054.9525373333336</v>
      </c>
      <c r="Q130" s="62">
        <f>'[6]PL COnly'!$AB$71*12/8</f>
        <v>2508.4997829162485</v>
      </c>
      <c r="R130" s="91">
        <f t="shared" si="45"/>
        <v>-0.57944882255205865</v>
      </c>
    </row>
    <row r="131" spans="2:20" x14ac:dyDescent="0.3">
      <c r="C131" s="90" t="s">
        <v>162</v>
      </c>
      <c r="D131" s="62">
        <f t="shared" si="47"/>
        <v>278.083868</v>
      </c>
      <c r="E131" s="62">
        <f t="shared" si="47"/>
        <v>280.91720133333337</v>
      </c>
      <c r="F131" s="62">
        <f t="shared" si="47"/>
        <v>287.00053466666668</v>
      </c>
      <c r="G131" s="62">
        <f t="shared" si="47"/>
        <v>287.833868</v>
      </c>
      <c r="H131" s="62">
        <f t="shared" si="47"/>
        <v>287.833868</v>
      </c>
      <c r="I131" s="62">
        <f t="shared" si="47"/>
        <v>287.833868</v>
      </c>
      <c r="J131" s="62">
        <f t="shared" si="47"/>
        <v>287.833868</v>
      </c>
      <c r="K131" s="62">
        <f t="shared" si="47"/>
        <v>292.83386800000005</v>
      </c>
      <c r="L131" s="62">
        <f t="shared" si="47"/>
        <v>292.83386800000005</v>
      </c>
      <c r="M131" s="62">
        <f t="shared" si="47"/>
        <v>292.83386800000005</v>
      </c>
      <c r="N131" s="62">
        <f t="shared" si="47"/>
        <v>292.83386800000005</v>
      </c>
      <c r="O131" s="62">
        <f t="shared" si="47"/>
        <v>292.83386800000005</v>
      </c>
      <c r="P131" s="62">
        <f t="shared" si="44"/>
        <v>3461.5064160000006</v>
      </c>
      <c r="Q131" s="62">
        <f>'[6]PL COnly'!$AB$72*12/8</f>
        <v>3277.8188214069578</v>
      </c>
      <c r="R131" s="91">
        <f t="shared" si="45"/>
        <v>5.6039581380583292E-2</v>
      </c>
    </row>
    <row r="132" spans="2:20" x14ac:dyDescent="0.3">
      <c r="C132" s="90" t="s">
        <v>163</v>
      </c>
      <c r="D132" s="62">
        <f t="shared" si="47"/>
        <v>193.65587233333332</v>
      </c>
      <c r="E132" s="62">
        <f t="shared" si="47"/>
        <v>193.65587233333332</v>
      </c>
      <c r="F132" s="62">
        <f t="shared" si="47"/>
        <v>196.98920566666669</v>
      </c>
      <c r="G132" s="62">
        <f t="shared" si="47"/>
        <v>196.98920566666669</v>
      </c>
      <c r="H132" s="62">
        <f t="shared" si="47"/>
        <v>196.98920566666669</v>
      </c>
      <c r="I132" s="62">
        <f t="shared" si="47"/>
        <v>198.98920566666669</v>
      </c>
      <c r="J132" s="62">
        <f t="shared" si="47"/>
        <v>198.98920566666669</v>
      </c>
      <c r="K132" s="62">
        <f t="shared" si="47"/>
        <v>198.98920566666669</v>
      </c>
      <c r="L132" s="62">
        <f t="shared" si="47"/>
        <v>198.98920566666669</v>
      </c>
      <c r="M132" s="62">
        <f t="shared" si="47"/>
        <v>198.98920566666669</v>
      </c>
      <c r="N132" s="62">
        <f t="shared" si="47"/>
        <v>198.98920566666669</v>
      </c>
      <c r="O132" s="62">
        <f t="shared" si="47"/>
        <v>198.98920566666669</v>
      </c>
      <c r="P132" s="62">
        <f t="shared" si="44"/>
        <v>2371.203801333334</v>
      </c>
      <c r="Q132" s="62">
        <f>'[6]PL COnly'!$AB$73*12/8</f>
        <v>2250.6699016082503</v>
      </c>
      <c r="R132" s="91">
        <f t="shared" si="45"/>
        <v>5.3554677049244062E-2</v>
      </c>
    </row>
    <row r="133" spans="2:20" x14ac:dyDescent="0.3">
      <c r="C133" s="90" t="s">
        <v>164</v>
      </c>
      <c r="D133" s="62">
        <f t="shared" ref="D133:O137" si="48">D251+D300+D349+D398+D447+D496+D545+D595+D645+D695+D745</f>
        <v>331.72226589473689</v>
      </c>
      <c r="E133" s="62">
        <f t="shared" si="48"/>
        <v>322.69510839473685</v>
      </c>
      <c r="F133" s="62">
        <f t="shared" si="48"/>
        <v>369.07896449999998</v>
      </c>
      <c r="G133" s="62">
        <f t="shared" si="48"/>
        <v>271.6727768947369</v>
      </c>
      <c r="H133" s="62">
        <f t="shared" si="48"/>
        <v>323.52228639473685</v>
      </c>
      <c r="I133" s="62">
        <f t="shared" si="48"/>
        <v>371.61265300000002</v>
      </c>
      <c r="J133" s="62">
        <f t="shared" si="48"/>
        <v>631.92933678947372</v>
      </c>
      <c r="K133" s="62">
        <f t="shared" si="48"/>
        <v>598.44072978947372</v>
      </c>
      <c r="L133" s="62">
        <f t="shared" si="48"/>
        <v>652.52211028947363</v>
      </c>
      <c r="M133" s="62">
        <f t="shared" si="48"/>
        <v>633.25993078947363</v>
      </c>
      <c r="N133" s="62">
        <f t="shared" si="48"/>
        <v>729.58045000000004</v>
      </c>
      <c r="O133" s="62">
        <f t="shared" si="48"/>
        <v>659.61626339473685</v>
      </c>
      <c r="P133" s="62">
        <f t="shared" si="44"/>
        <v>5895.6528761315794</v>
      </c>
      <c r="Q133" s="62">
        <f>('[6]PL COnly'!$AB$75+'[6]PL COnly'!$AB$76)*12/8</f>
        <v>2808.6223697099999</v>
      </c>
      <c r="R133" s="91">
        <f t="shared" si="45"/>
        <v>1.0991262263357697</v>
      </c>
    </row>
    <row r="134" spans="2:20" x14ac:dyDescent="0.3">
      <c r="C134" s="90" t="s">
        <v>165</v>
      </c>
      <c r="D134" s="62">
        <f t="shared" si="48"/>
        <v>46.478653663333333</v>
      </c>
      <c r="E134" s="62">
        <f t="shared" si="48"/>
        <v>46.478653663333333</v>
      </c>
      <c r="F134" s="62">
        <f t="shared" si="48"/>
        <v>46.478653663333333</v>
      </c>
      <c r="G134" s="62">
        <f t="shared" si="48"/>
        <v>46.478653663333333</v>
      </c>
      <c r="H134" s="62">
        <f t="shared" si="48"/>
        <v>46.478653663333333</v>
      </c>
      <c r="I134" s="62">
        <f t="shared" si="48"/>
        <v>46.478653663333333</v>
      </c>
      <c r="J134" s="62">
        <f t="shared" si="48"/>
        <v>46.478653663333333</v>
      </c>
      <c r="K134" s="62">
        <f t="shared" si="48"/>
        <v>46.478653663333333</v>
      </c>
      <c r="L134" s="62">
        <f t="shared" si="48"/>
        <v>46.478653663333333</v>
      </c>
      <c r="M134" s="62">
        <f t="shared" si="48"/>
        <v>46.478653663333333</v>
      </c>
      <c r="N134" s="62">
        <f t="shared" si="48"/>
        <v>46.478653663333333</v>
      </c>
      <c r="O134" s="62">
        <f t="shared" si="48"/>
        <v>46.478653663333333</v>
      </c>
      <c r="P134" s="62">
        <f t="shared" si="44"/>
        <v>557.74384395999994</v>
      </c>
      <c r="Q134" s="62">
        <f>'[6]PL COnly'!$AB$77*12/8</f>
        <v>589.39531722000004</v>
      </c>
      <c r="R134" s="91">
        <f t="shared" si="45"/>
        <v>-5.3701602872059717E-2</v>
      </c>
    </row>
    <row r="135" spans="2:20" x14ac:dyDescent="0.3">
      <c r="C135" s="90" t="s">
        <v>166</v>
      </c>
      <c r="D135" s="62">
        <f t="shared" si="48"/>
        <v>0</v>
      </c>
      <c r="E135" s="62">
        <f t="shared" si="48"/>
        <v>0</v>
      </c>
      <c r="F135" s="62">
        <f t="shared" si="48"/>
        <v>0</v>
      </c>
      <c r="G135" s="62">
        <f t="shared" si="48"/>
        <v>0</v>
      </c>
      <c r="H135" s="62">
        <f t="shared" si="48"/>
        <v>0</v>
      </c>
      <c r="I135" s="62">
        <f t="shared" si="48"/>
        <v>0</v>
      </c>
      <c r="J135" s="62">
        <f t="shared" si="48"/>
        <v>0</v>
      </c>
      <c r="K135" s="62">
        <f t="shared" si="48"/>
        <v>0</v>
      </c>
      <c r="L135" s="62">
        <f t="shared" si="48"/>
        <v>0</v>
      </c>
      <c r="M135" s="62">
        <f t="shared" si="48"/>
        <v>0</v>
      </c>
      <c r="N135" s="62">
        <f t="shared" si="48"/>
        <v>0</v>
      </c>
      <c r="O135" s="62">
        <f t="shared" si="48"/>
        <v>0</v>
      </c>
      <c r="P135" s="62">
        <f t="shared" si="44"/>
        <v>0</v>
      </c>
      <c r="Q135" s="62"/>
      <c r="R135" s="62"/>
    </row>
    <row r="136" spans="2:20" x14ac:dyDescent="0.3">
      <c r="C136" s="90" t="s">
        <v>167</v>
      </c>
      <c r="D136" s="62">
        <f t="shared" si="48"/>
        <v>169.7244802748348</v>
      </c>
      <c r="E136" s="62">
        <f t="shared" si="48"/>
        <v>178.42279439131309</v>
      </c>
      <c r="F136" s="62">
        <f t="shared" si="48"/>
        <v>183.03104648938779</v>
      </c>
      <c r="G136" s="62">
        <f t="shared" si="48"/>
        <v>145.19386966136938</v>
      </c>
      <c r="H136" s="62">
        <f t="shared" si="48"/>
        <v>196.72280984444828</v>
      </c>
      <c r="I136" s="62">
        <f t="shared" si="48"/>
        <v>203.22814460113719</v>
      </c>
      <c r="J136" s="62">
        <f t="shared" si="48"/>
        <v>228.99896922388348</v>
      </c>
      <c r="K136" s="62">
        <f t="shared" si="48"/>
        <v>223.62641759956765</v>
      </c>
      <c r="L136" s="62">
        <f t="shared" si="48"/>
        <v>228.26721366943801</v>
      </c>
      <c r="M136" s="62">
        <f t="shared" si="48"/>
        <v>264.21754034551145</v>
      </c>
      <c r="N136" s="62">
        <f t="shared" si="48"/>
        <v>233.25094793551997</v>
      </c>
      <c r="O136" s="62">
        <f t="shared" si="48"/>
        <v>217.11568280312309</v>
      </c>
      <c r="P136" s="62">
        <f t="shared" si="44"/>
        <v>2471.7999168395345</v>
      </c>
      <c r="Q136" s="62">
        <f>'[6]PL COnly'!$AB$61*12/8</f>
        <v>2913.6634274999997</v>
      </c>
      <c r="R136" s="91">
        <f t="shared" ref="R136:R137" si="49">(P136-Q136)/Q136</f>
        <v>-0.15165221435325349</v>
      </c>
    </row>
    <row r="137" spans="2:20" ht="13.5" thickBot="1" x14ac:dyDescent="0.35">
      <c r="C137" s="90" t="s">
        <v>168</v>
      </c>
      <c r="D137" s="62">
        <f t="shared" si="48"/>
        <v>23.25</v>
      </c>
      <c r="E137" s="62">
        <f t="shared" si="48"/>
        <v>23.25</v>
      </c>
      <c r="F137" s="62">
        <f t="shared" si="48"/>
        <v>23.25</v>
      </c>
      <c r="G137" s="62">
        <f t="shared" si="48"/>
        <v>23.25</v>
      </c>
      <c r="H137" s="62">
        <f t="shared" si="48"/>
        <v>23.25</v>
      </c>
      <c r="I137" s="62">
        <f t="shared" si="48"/>
        <v>23.25</v>
      </c>
      <c r="J137" s="62">
        <f t="shared" si="48"/>
        <v>23.25</v>
      </c>
      <c r="K137" s="62">
        <f t="shared" si="48"/>
        <v>23.25</v>
      </c>
      <c r="L137" s="62">
        <f t="shared" si="48"/>
        <v>23.25</v>
      </c>
      <c r="M137" s="62">
        <f t="shared" si="48"/>
        <v>23.25</v>
      </c>
      <c r="N137" s="62">
        <f t="shared" si="48"/>
        <v>23.25</v>
      </c>
      <c r="O137" s="62">
        <f t="shared" si="48"/>
        <v>23.25</v>
      </c>
      <c r="P137" s="62">
        <f t="shared" si="44"/>
        <v>279</v>
      </c>
      <c r="Q137" s="62">
        <f>'[6]PL COnly'!$AB$78*12/8</f>
        <v>241.61472000000001</v>
      </c>
      <c r="R137" s="91">
        <f t="shared" si="49"/>
        <v>0.15473097003361383</v>
      </c>
    </row>
    <row r="138" spans="2:20" ht="13.5" thickBot="1" x14ac:dyDescent="0.35">
      <c r="B138" s="20"/>
      <c r="C138" s="95" t="s">
        <v>169</v>
      </c>
      <c r="D138" s="93">
        <f t="shared" ref="D138:P138" si="50">SUM(D120:D137)</f>
        <v>1125.1334071662384</v>
      </c>
      <c r="E138" s="93">
        <f t="shared" si="50"/>
        <v>1181.8045637827167</v>
      </c>
      <c r="F138" s="93">
        <f t="shared" si="50"/>
        <v>1247.2133386527212</v>
      </c>
      <c r="G138" s="93">
        <f t="shared" si="50"/>
        <v>1102.303307552773</v>
      </c>
      <c r="H138" s="93">
        <f t="shared" si="50"/>
        <v>1185.6817572358518</v>
      </c>
      <c r="I138" s="93">
        <f t="shared" si="50"/>
        <v>1220.2774585978041</v>
      </c>
      <c r="J138" s="93">
        <f t="shared" si="50"/>
        <v>1556.3649670100237</v>
      </c>
      <c r="K138" s="93">
        <f t="shared" si="50"/>
        <v>1472.5038083857082</v>
      </c>
      <c r="L138" s="93">
        <f t="shared" si="50"/>
        <v>1551.2259849555783</v>
      </c>
      <c r="M138" s="93">
        <f t="shared" si="50"/>
        <v>1547.9141321316517</v>
      </c>
      <c r="N138" s="93">
        <f t="shared" si="50"/>
        <v>1633.2680589321867</v>
      </c>
      <c r="O138" s="93">
        <f t="shared" si="50"/>
        <v>1527.1686071945264</v>
      </c>
      <c r="P138" s="93">
        <f t="shared" si="50"/>
        <v>16350.859391597782</v>
      </c>
      <c r="Q138" s="93">
        <f t="shared" ref="Q138" si="51">SUM(Q120:Q137)</f>
        <v>35189.350346648374</v>
      </c>
      <c r="R138" s="96">
        <f>(P138-Q138)/Q138</f>
        <v>-0.53534636955424419</v>
      </c>
    </row>
    <row r="139" spans="2:20" x14ac:dyDescent="0.3">
      <c r="C139" s="183" t="s">
        <v>170</v>
      </c>
      <c r="D139" s="184">
        <f t="shared" ref="D139:O145" si="52">D257+D306+D355+D404+D453+D502+D551+D601+D651+D701+D751+D801</f>
        <v>1274.1207590000001</v>
      </c>
      <c r="E139" s="184">
        <f t="shared" si="52"/>
        <v>1274.1207590000001</v>
      </c>
      <c r="F139" s="184">
        <f t="shared" si="52"/>
        <v>1274.1207590000001</v>
      </c>
      <c r="G139" s="184">
        <f t="shared" si="52"/>
        <v>1274.1207590000001</v>
      </c>
      <c r="H139" s="184">
        <f t="shared" si="52"/>
        <v>1274.1207590000001</v>
      </c>
      <c r="I139" s="184">
        <f t="shared" si="52"/>
        <v>1274.1207590000001</v>
      </c>
      <c r="J139" s="184">
        <f t="shared" si="52"/>
        <v>1274.1207590000001</v>
      </c>
      <c r="K139" s="184">
        <f t="shared" si="52"/>
        <v>1274.1207590000001</v>
      </c>
      <c r="L139" s="184">
        <f t="shared" si="52"/>
        <v>1274.1207590000001</v>
      </c>
      <c r="M139" s="184">
        <f t="shared" si="52"/>
        <v>1274.1207590000001</v>
      </c>
      <c r="N139" s="184">
        <f t="shared" si="52"/>
        <v>1274.1207590000001</v>
      </c>
      <c r="O139" s="184">
        <f t="shared" si="52"/>
        <v>1274.1207590000001</v>
      </c>
      <c r="P139" s="184">
        <f t="shared" ref="P139:R152" si="53">D139+E139+F139+G139+H139+I139+J139+K139+L139+M139+N139+O139</f>
        <v>15289.449107999999</v>
      </c>
      <c r="Q139" s="62">
        <f>([6]WS!$N$601*12/8)/1000000</f>
        <v>20121.297976029964</v>
      </c>
      <c r="R139" s="91">
        <f>(P139+P140+P144+P148+P151-Q139)/Q139</f>
        <v>5.0517588405074892E-2</v>
      </c>
    </row>
    <row r="140" spans="2:20" x14ac:dyDescent="0.3">
      <c r="C140" s="131" t="s">
        <v>171</v>
      </c>
      <c r="D140" s="132">
        <f t="shared" si="52"/>
        <v>24.478265063583816</v>
      </c>
      <c r="E140" s="132">
        <f t="shared" si="52"/>
        <v>50.316209243609222</v>
      </c>
      <c r="F140" s="132">
        <f t="shared" si="52"/>
        <v>37.191574969109681</v>
      </c>
      <c r="G140" s="132">
        <f t="shared" si="52"/>
        <v>99.444154444323686</v>
      </c>
      <c r="H140" s="132">
        <f t="shared" si="52"/>
        <v>27.262667714566476</v>
      </c>
      <c r="I140" s="132">
        <f t="shared" si="52"/>
        <v>74.687095802156705</v>
      </c>
      <c r="J140" s="132">
        <f t="shared" si="52"/>
        <v>207.79017399735307</v>
      </c>
      <c r="K140" s="132">
        <f t="shared" si="52"/>
        <v>57.982997249337075</v>
      </c>
      <c r="L140" s="132">
        <f t="shared" si="52"/>
        <v>166.00650531128915</v>
      </c>
      <c r="M140" s="132">
        <f t="shared" si="52"/>
        <v>271.29912216247118</v>
      </c>
      <c r="N140" s="132">
        <f t="shared" si="52"/>
        <v>115.68363438147992</v>
      </c>
      <c r="O140" s="132">
        <f t="shared" si="52"/>
        <v>127.01102084763303</v>
      </c>
      <c r="P140" s="132">
        <f t="shared" si="53"/>
        <v>1259.153421186913</v>
      </c>
      <c r="Q140" s="62"/>
      <c r="R140" s="62"/>
      <c r="S140" s="17">
        <f>P140*90%</f>
        <v>1133.2380790682216</v>
      </c>
      <c r="T140" s="20">
        <f>P140/12</f>
        <v>104.92945176557608</v>
      </c>
    </row>
    <row r="141" spans="2:20" x14ac:dyDescent="0.3">
      <c r="C141" s="90" t="s">
        <v>172</v>
      </c>
      <c r="D141" s="62">
        <f t="shared" si="52"/>
        <v>0</v>
      </c>
      <c r="E141" s="62">
        <f t="shared" si="52"/>
        <v>0</v>
      </c>
      <c r="F141" s="62">
        <f t="shared" si="52"/>
        <v>0</v>
      </c>
      <c r="G141" s="62">
        <f t="shared" si="52"/>
        <v>0</v>
      </c>
      <c r="H141" s="62">
        <f t="shared" si="52"/>
        <v>0</v>
      </c>
      <c r="I141" s="62">
        <f t="shared" si="52"/>
        <v>0</v>
      </c>
      <c r="J141" s="62">
        <f t="shared" si="52"/>
        <v>0</v>
      </c>
      <c r="K141" s="62">
        <f t="shared" si="52"/>
        <v>0</v>
      </c>
      <c r="L141" s="62">
        <f t="shared" si="52"/>
        <v>0</v>
      </c>
      <c r="M141" s="62">
        <f t="shared" si="52"/>
        <v>0</v>
      </c>
      <c r="N141" s="62">
        <f t="shared" si="52"/>
        <v>0</v>
      </c>
      <c r="O141" s="62">
        <f t="shared" si="52"/>
        <v>0</v>
      </c>
      <c r="P141" s="62">
        <f t="shared" si="53"/>
        <v>0</v>
      </c>
      <c r="Q141" s="62"/>
      <c r="R141" s="62"/>
    </row>
    <row r="142" spans="2:20" x14ac:dyDescent="0.3">
      <c r="C142" s="90" t="s">
        <v>173</v>
      </c>
      <c r="D142" s="62">
        <f t="shared" si="52"/>
        <v>865.41890873</v>
      </c>
      <c r="E142" s="62">
        <f t="shared" si="52"/>
        <v>865.41890873</v>
      </c>
      <c r="F142" s="62">
        <f t="shared" si="52"/>
        <v>865.41890873</v>
      </c>
      <c r="G142" s="62">
        <f t="shared" si="52"/>
        <v>865.41890873</v>
      </c>
      <c r="H142" s="62">
        <f t="shared" si="52"/>
        <v>865.41890873</v>
      </c>
      <c r="I142" s="62">
        <f t="shared" si="52"/>
        <v>865.41890873</v>
      </c>
      <c r="J142" s="62">
        <f t="shared" si="52"/>
        <v>865.41890873</v>
      </c>
      <c r="K142" s="62">
        <f t="shared" si="52"/>
        <v>865.41890873</v>
      </c>
      <c r="L142" s="62">
        <f t="shared" si="52"/>
        <v>865.41890873</v>
      </c>
      <c r="M142" s="62">
        <f t="shared" si="52"/>
        <v>865.41890873</v>
      </c>
      <c r="N142" s="62">
        <f t="shared" si="52"/>
        <v>865.41890873</v>
      </c>
      <c r="O142" s="62">
        <f t="shared" si="52"/>
        <v>865.41890873</v>
      </c>
      <c r="P142" s="62">
        <f t="shared" si="53"/>
        <v>10385.02690476</v>
      </c>
      <c r="Q142" s="62">
        <f>'[6]PL COnly'!$AB$67*12/8</f>
        <v>8896.408910048387</v>
      </c>
      <c r="R142" s="91">
        <f>(P142+P145++P149+P150-Q142)/Q142</f>
        <v>0.38183593752215872</v>
      </c>
    </row>
    <row r="143" spans="2:20" x14ac:dyDescent="0.3">
      <c r="C143" s="90" t="s">
        <v>174</v>
      </c>
      <c r="D143" s="62">
        <f t="shared" si="52"/>
        <v>0</v>
      </c>
      <c r="E143" s="62">
        <f t="shared" si="52"/>
        <v>0</v>
      </c>
      <c r="F143" s="62">
        <f t="shared" si="52"/>
        <v>0</v>
      </c>
      <c r="G143" s="62">
        <f t="shared" si="52"/>
        <v>0</v>
      </c>
      <c r="H143" s="62">
        <f t="shared" si="52"/>
        <v>0</v>
      </c>
      <c r="I143" s="62">
        <f t="shared" si="52"/>
        <v>0</v>
      </c>
      <c r="J143" s="62">
        <f t="shared" si="52"/>
        <v>0</v>
      </c>
      <c r="K143" s="62">
        <f t="shared" si="52"/>
        <v>0</v>
      </c>
      <c r="L143" s="62">
        <f t="shared" si="52"/>
        <v>0</v>
      </c>
      <c r="M143" s="62">
        <f t="shared" si="52"/>
        <v>0</v>
      </c>
      <c r="N143" s="62">
        <f t="shared" si="52"/>
        <v>0</v>
      </c>
      <c r="O143" s="62">
        <f t="shared" si="52"/>
        <v>0</v>
      </c>
      <c r="P143" s="62">
        <f t="shared" si="53"/>
        <v>0</v>
      </c>
      <c r="Q143" s="62"/>
      <c r="R143" s="62"/>
    </row>
    <row r="144" spans="2:20" x14ac:dyDescent="0.3">
      <c r="C144" s="90" t="s">
        <v>175</v>
      </c>
      <c r="D144" s="62">
        <f t="shared" si="52"/>
        <v>106.17672991666666</v>
      </c>
      <c r="E144" s="62">
        <f t="shared" si="52"/>
        <v>106.17672991666666</v>
      </c>
      <c r="F144" s="62">
        <f t="shared" si="52"/>
        <v>106.17672991666666</v>
      </c>
      <c r="G144" s="62">
        <f t="shared" si="52"/>
        <v>106.17672991666666</v>
      </c>
      <c r="H144" s="62">
        <f t="shared" si="52"/>
        <v>106.17672991666666</v>
      </c>
      <c r="I144" s="62">
        <f t="shared" si="52"/>
        <v>106.17672991666666</v>
      </c>
      <c r="J144" s="62">
        <f t="shared" si="52"/>
        <v>106.17672991666666</v>
      </c>
      <c r="K144" s="62">
        <f t="shared" si="52"/>
        <v>106.17672991666666</v>
      </c>
      <c r="L144" s="62">
        <f t="shared" si="52"/>
        <v>106.17672991666666</v>
      </c>
      <c r="M144" s="62">
        <f t="shared" si="52"/>
        <v>106.17672991666666</v>
      </c>
      <c r="N144" s="62">
        <f t="shared" si="52"/>
        <v>106.17672991666666</v>
      </c>
      <c r="O144" s="62">
        <f t="shared" si="52"/>
        <v>106.17672991666666</v>
      </c>
      <c r="P144" s="62">
        <f t="shared" si="53"/>
        <v>1274.1207589999999</v>
      </c>
      <c r="Q144" s="62"/>
      <c r="R144" s="62"/>
    </row>
    <row r="145" spans="1:20" ht="13.5" thickBot="1" x14ac:dyDescent="0.35">
      <c r="C145" s="90" t="s">
        <v>176</v>
      </c>
      <c r="D145" s="62">
        <f t="shared" si="52"/>
        <v>66.841992394166667</v>
      </c>
      <c r="E145" s="62">
        <f t="shared" si="52"/>
        <v>66.841992394166667</v>
      </c>
      <c r="F145" s="62">
        <f t="shared" si="52"/>
        <v>66.841992394166667</v>
      </c>
      <c r="G145" s="62">
        <f t="shared" si="52"/>
        <v>66.841992394166667</v>
      </c>
      <c r="H145" s="62">
        <f t="shared" si="52"/>
        <v>66.841992394166667</v>
      </c>
      <c r="I145" s="62">
        <f t="shared" si="52"/>
        <v>66.841992394166667</v>
      </c>
      <c r="J145" s="62">
        <f t="shared" si="52"/>
        <v>66.841992394166667</v>
      </c>
      <c r="K145" s="62">
        <f t="shared" si="52"/>
        <v>66.841992394166667</v>
      </c>
      <c r="L145" s="62">
        <f t="shared" si="52"/>
        <v>66.841992394166667</v>
      </c>
      <c r="M145" s="62">
        <f t="shared" si="52"/>
        <v>66.841992394166667</v>
      </c>
      <c r="N145" s="62">
        <f t="shared" si="52"/>
        <v>66.841992394166667</v>
      </c>
      <c r="O145" s="62">
        <f t="shared" si="52"/>
        <v>66.841992394166667</v>
      </c>
      <c r="P145" s="62">
        <f t="shared" si="53"/>
        <v>802.10390873000017</v>
      </c>
      <c r="Q145" s="62"/>
      <c r="R145" s="62"/>
    </row>
    <row r="146" spans="1:20" ht="13.5" thickBot="1" x14ac:dyDescent="0.35">
      <c r="B146" s="20"/>
      <c r="C146" s="97" t="s">
        <v>177</v>
      </c>
      <c r="D146" s="98">
        <f t="shared" ref="D146:O146" si="54">SUM(D139:D145)</f>
        <v>2337.0366551044172</v>
      </c>
      <c r="E146" s="98">
        <f t="shared" si="54"/>
        <v>2362.8745992844424</v>
      </c>
      <c r="F146" s="98">
        <f t="shared" si="54"/>
        <v>2349.749965009943</v>
      </c>
      <c r="G146" s="98">
        <f t="shared" si="54"/>
        <v>2412.0025444851572</v>
      </c>
      <c r="H146" s="98">
        <f t="shared" si="54"/>
        <v>2339.8210577554</v>
      </c>
      <c r="I146" s="98">
        <f t="shared" si="54"/>
        <v>2387.2454858429901</v>
      </c>
      <c r="J146" s="98">
        <f t="shared" si="54"/>
        <v>2520.3485640381864</v>
      </c>
      <c r="K146" s="98">
        <f t="shared" si="54"/>
        <v>2370.5413872901704</v>
      </c>
      <c r="L146" s="98">
        <f t="shared" si="54"/>
        <v>2478.5648953521227</v>
      </c>
      <c r="M146" s="98">
        <f t="shared" si="54"/>
        <v>2583.8575122033044</v>
      </c>
      <c r="N146" s="98">
        <f t="shared" si="54"/>
        <v>2428.2420244223135</v>
      </c>
      <c r="O146" s="98">
        <f t="shared" si="54"/>
        <v>2439.5694108884663</v>
      </c>
      <c r="P146" s="98">
        <f t="shared" si="53"/>
        <v>29009.854101676916</v>
      </c>
      <c r="Q146" s="98">
        <f>SUM(Q139:Q145)</f>
        <v>29017.706886078351</v>
      </c>
      <c r="R146" s="98">
        <f t="shared" si="53"/>
        <v>82337.503835043317</v>
      </c>
    </row>
    <row r="147" spans="1:20" x14ac:dyDescent="0.3">
      <c r="B147" s="20"/>
      <c r="C147" s="90" t="s">
        <v>178</v>
      </c>
      <c r="D147" s="62">
        <f t="shared" ref="D147:O151" si="55">D265+D314+D363+D412+D461+D510+D559+D609+D659+D709+D759+D809</f>
        <v>14.247820405416666</v>
      </c>
      <c r="E147" s="62">
        <f t="shared" si="55"/>
        <v>14.247820405416666</v>
      </c>
      <c r="F147" s="62">
        <f t="shared" si="55"/>
        <v>14.247820405416666</v>
      </c>
      <c r="G147" s="62">
        <f t="shared" si="55"/>
        <v>14.247820405416666</v>
      </c>
      <c r="H147" s="62">
        <f t="shared" si="55"/>
        <v>14.247820405416666</v>
      </c>
      <c r="I147" s="62">
        <f t="shared" si="55"/>
        <v>14.247820405416666</v>
      </c>
      <c r="J147" s="62">
        <f t="shared" si="55"/>
        <v>14.247820405416666</v>
      </c>
      <c r="K147" s="62">
        <f t="shared" si="55"/>
        <v>14.247820405416666</v>
      </c>
      <c r="L147" s="62">
        <f t="shared" si="55"/>
        <v>14.247820405416666</v>
      </c>
      <c r="M147" s="62">
        <f t="shared" si="55"/>
        <v>14.247820405416666</v>
      </c>
      <c r="N147" s="62">
        <f t="shared" si="55"/>
        <v>14.247820405416666</v>
      </c>
      <c r="O147" s="62">
        <f t="shared" si="55"/>
        <v>14.247820405416666</v>
      </c>
      <c r="P147" s="62">
        <f t="shared" si="53"/>
        <v>170.97384486499996</v>
      </c>
      <c r="Q147" s="62"/>
      <c r="R147" s="62"/>
    </row>
    <row r="148" spans="1:20" x14ac:dyDescent="0.3">
      <c r="B148" s="20"/>
      <c r="C148" s="90" t="s">
        <v>179</v>
      </c>
      <c r="D148" s="62">
        <f t="shared" si="55"/>
        <v>195.42127393100003</v>
      </c>
      <c r="E148" s="62">
        <f t="shared" si="55"/>
        <v>195.42127393100003</v>
      </c>
      <c r="F148" s="62">
        <f t="shared" si="55"/>
        <v>195.42127393100003</v>
      </c>
      <c r="G148" s="62">
        <f t="shared" si="55"/>
        <v>195.42127393100003</v>
      </c>
      <c r="H148" s="62">
        <f t="shared" si="55"/>
        <v>195.42127393100003</v>
      </c>
      <c r="I148" s="62">
        <f t="shared" si="55"/>
        <v>195.42127393100003</v>
      </c>
      <c r="J148" s="62">
        <f t="shared" si="55"/>
        <v>195.42127393100003</v>
      </c>
      <c r="K148" s="62">
        <f t="shared" si="55"/>
        <v>195.42127393100003</v>
      </c>
      <c r="L148" s="62">
        <f t="shared" si="55"/>
        <v>195.42127393100003</v>
      </c>
      <c r="M148" s="62">
        <f t="shared" si="55"/>
        <v>195.42127393100003</v>
      </c>
      <c r="N148" s="62">
        <f t="shared" si="55"/>
        <v>195.42127393100003</v>
      </c>
      <c r="O148" s="62">
        <f t="shared" si="55"/>
        <v>195.42127393100003</v>
      </c>
      <c r="P148" s="62">
        <f t="shared" si="53"/>
        <v>2345.0552871720006</v>
      </c>
      <c r="Q148" s="62"/>
      <c r="R148" s="62"/>
    </row>
    <row r="149" spans="1:20" x14ac:dyDescent="0.3">
      <c r="B149" s="20"/>
      <c r="C149" s="90" t="s">
        <v>180</v>
      </c>
      <c r="D149" s="62">
        <f t="shared" si="55"/>
        <v>78.334196577599997</v>
      </c>
      <c r="E149" s="62">
        <f t="shared" si="55"/>
        <v>78.334196577599997</v>
      </c>
      <c r="F149" s="62">
        <f t="shared" si="55"/>
        <v>78.334196577599997</v>
      </c>
      <c r="G149" s="62">
        <f t="shared" si="55"/>
        <v>78.334196577599997</v>
      </c>
      <c r="H149" s="62">
        <f t="shared" si="55"/>
        <v>78.334196577599997</v>
      </c>
      <c r="I149" s="62">
        <f t="shared" si="55"/>
        <v>78.334196577599997</v>
      </c>
      <c r="J149" s="62">
        <f t="shared" si="55"/>
        <v>78.334196577599997</v>
      </c>
      <c r="K149" s="62">
        <f t="shared" si="55"/>
        <v>78.334196577599997</v>
      </c>
      <c r="L149" s="62">
        <f t="shared" si="55"/>
        <v>78.334196577599997</v>
      </c>
      <c r="M149" s="62">
        <f t="shared" si="55"/>
        <v>78.334196577599997</v>
      </c>
      <c r="N149" s="62">
        <f t="shared" si="55"/>
        <v>78.334196577599997</v>
      </c>
      <c r="O149" s="62">
        <f t="shared" si="55"/>
        <v>78.334196577599997</v>
      </c>
      <c r="P149" s="62">
        <f t="shared" si="53"/>
        <v>940.0103589311999</v>
      </c>
      <c r="Q149" s="62"/>
      <c r="R149" s="62"/>
    </row>
    <row r="150" spans="1:20" x14ac:dyDescent="0.3">
      <c r="B150" s="20"/>
      <c r="C150" s="90" t="s">
        <v>181</v>
      </c>
      <c r="D150" s="62">
        <f t="shared" si="55"/>
        <v>13.853031198</v>
      </c>
      <c r="E150" s="62">
        <f t="shared" si="55"/>
        <v>13.853031198</v>
      </c>
      <c r="F150" s="62">
        <f t="shared" si="55"/>
        <v>13.853031198</v>
      </c>
      <c r="G150" s="62">
        <f t="shared" si="55"/>
        <v>13.853031198</v>
      </c>
      <c r="H150" s="62">
        <f t="shared" si="55"/>
        <v>13.853031198</v>
      </c>
      <c r="I150" s="62">
        <f t="shared" si="55"/>
        <v>13.853031198</v>
      </c>
      <c r="J150" s="62">
        <f t="shared" si="55"/>
        <v>13.853031198</v>
      </c>
      <c r="K150" s="62">
        <f t="shared" si="55"/>
        <v>13.853031198</v>
      </c>
      <c r="L150" s="62">
        <f t="shared" si="55"/>
        <v>13.853031198</v>
      </c>
      <c r="M150" s="62">
        <f t="shared" si="55"/>
        <v>13.853031198</v>
      </c>
      <c r="N150" s="62">
        <f t="shared" si="55"/>
        <v>13.853031198</v>
      </c>
      <c r="O150" s="62">
        <f t="shared" si="55"/>
        <v>13.853031198</v>
      </c>
      <c r="P150" s="62">
        <f t="shared" si="53"/>
        <v>166.23637437599999</v>
      </c>
      <c r="Q150" s="62"/>
      <c r="R150" s="62"/>
    </row>
    <row r="151" spans="1:20" x14ac:dyDescent="0.3">
      <c r="B151" s="20"/>
      <c r="C151" s="90" t="s">
        <v>182</v>
      </c>
      <c r="D151" s="62">
        <f t="shared" si="55"/>
        <v>80.833237499999996</v>
      </c>
      <c r="E151" s="62">
        <f t="shared" si="55"/>
        <v>80.833237499999996</v>
      </c>
      <c r="F151" s="62">
        <f t="shared" si="55"/>
        <v>80.833237499999996</v>
      </c>
      <c r="G151" s="62">
        <f t="shared" si="55"/>
        <v>80.833237499999996</v>
      </c>
      <c r="H151" s="62">
        <f t="shared" si="55"/>
        <v>80.833237499999996</v>
      </c>
      <c r="I151" s="62">
        <f t="shared" si="55"/>
        <v>80.833237499999996</v>
      </c>
      <c r="J151" s="62">
        <f t="shared" si="55"/>
        <v>80.833237499999996</v>
      </c>
      <c r="K151" s="62">
        <f t="shared" si="55"/>
        <v>80.833237499999996</v>
      </c>
      <c r="L151" s="62">
        <f t="shared" si="55"/>
        <v>80.833237499999996</v>
      </c>
      <c r="M151" s="62">
        <f t="shared" si="55"/>
        <v>80.833237499999996</v>
      </c>
      <c r="N151" s="62">
        <f t="shared" si="55"/>
        <v>80.833237499999996</v>
      </c>
      <c r="O151" s="62">
        <f t="shared" si="55"/>
        <v>80.833237499999996</v>
      </c>
      <c r="P151" s="62">
        <f t="shared" si="53"/>
        <v>969.99884999999995</v>
      </c>
      <c r="Q151" s="62"/>
      <c r="R151" s="62"/>
    </row>
    <row r="152" spans="1:20" ht="13.5" thickBot="1" x14ac:dyDescent="0.35">
      <c r="A152" s="20"/>
      <c r="B152" s="20"/>
      <c r="C152" s="99" t="s">
        <v>183</v>
      </c>
      <c r="D152" s="100">
        <f>SUM(D147:D151)</f>
        <v>382.68955961201669</v>
      </c>
      <c r="E152" s="100">
        <f t="shared" ref="E152:O152" si="56">SUM(E147:E151)</f>
        <v>382.68955961201669</v>
      </c>
      <c r="F152" s="100">
        <f t="shared" si="56"/>
        <v>382.68955961201669</v>
      </c>
      <c r="G152" s="100">
        <f t="shared" si="56"/>
        <v>382.68955961201669</v>
      </c>
      <c r="H152" s="100">
        <f t="shared" si="56"/>
        <v>382.68955961201669</v>
      </c>
      <c r="I152" s="100">
        <f t="shared" si="56"/>
        <v>382.68955961201669</v>
      </c>
      <c r="J152" s="100">
        <f t="shared" si="56"/>
        <v>382.68955961201669</v>
      </c>
      <c r="K152" s="100">
        <f t="shared" si="56"/>
        <v>382.68955961201669</v>
      </c>
      <c r="L152" s="100">
        <f t="shared" si="56"/>
        <v>382.68955961201669</v>
      </c>
      <c r="M152" s="100">
        <f t="shared" si="56"/>
        <v>382.68955961201669</v>
      </c>
      <c r="N152" s="100">
        <f t="shared" si="56"/>
        <v>382.68955961201669</v>
      </c>
      <c r="O152" s="100">
        <f t="shared" si="56"/>
        <v>382.68955961201669</v>
      </c>
      <c r="P152" s="100">
        <f t="shared" si="53"/>
        <v>4592.2747153442006</v>
      </c>
      <c r="Q152" s="100">
        <f>SUM(Q147:Q151)</f>
        <v>0</v>
      </c>
      <c r="R152" s="100">
        <f t="shared" si="53"/>
        <v>8419.1703114643678</v>
      </c>
    </row>
    <row r="153" spans="1:20" ht="13.5" thickBot="1" x14ac:dyDescent="0.35">
      <c r="A153" s="20"/>
      <c r="B153" s="20"/>
      <c r="C153" s="92" t="s">
        <v>184</v>
      </c>
      <c r="D153" s="93">
        <f t="shared" ref="D153:R153" si="57">D118+D138+D146+D152</f>
        <v>15202.771915216357</v>
      </c>
      <c r="E153" s="93">
        <f t="shared" si="57"/>
        <v>16984.833608803929</v>
      </c>
      <c r="F153" s="93">
        <f t="shared" si="57"/>
        <v>17211.577862703154</v>
      </c>
      <c r="G153" s="93">
        <f t="shared" si="57"/>
        <v>16364.673910308446</v>
      </c>
      <c r="H153" s="93">
        <f t="shared" si="57"/>
        <v>18622.86584182319</v>
      </c>
      <c r="I153" s="93">
        <f t="shared" si="57"/>
        <v>18996.766600049457</v>
      </c>
      <c r="J153" s="93">
        <f t="shared" si="57"/>
        <v>24243.872448698967</v>
      </c>
      <c r="K153" s="93">
        <f t="shared" si="57"/>
        <v>21958.455779018481</v>
      </c>
      <c r="L153" s="93">
        <f t="shared" si="57"/>
        <v>22740.34165013002</v>
      </c>
      <c r="M153" s="93">
        <f t="shared" si="57"/>
        <v>26810.659537050145</v>
      </c>
      <c r="N153" s="93">
        <f t="shared" si="57"/>
        <v>22936.924570925006</v>
      </c>
      <c r="O153" s="93">
        <f t="shared" si="57"/>
        <v>21667.926989857831</v>
      </c>
      <c r="P153" s="93">
        <f t="shared" si="57"/>
        <v>243741.67071458494</v>
      </c>
      <c r="Q153" s="93">
        <f t="shared" si="57"/>
        <v>240044.7894224053</v>
      </c>
      <c r="R153" s="93">
        <f t="shared" si="57"/>
        <v>90756.240888296859</v>
      </c>
      <c r="S153" s="17">
        <f>Q153-Q20</f>
        <v>-0.21711683669127524</v>
      </c>
      <c r="T153" s="101"/>
    </row>
    <row r="154" spans="1:20" x14ac:dyDescent="0.3">
      <c r="C154" s="94"/>
      <c r="D154" s="102">
        <f>D153-D118</f>
        <v>3844.8596218826733</v>
      </c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</row>
    <row r="155" spans="1:20" x14ac:dyDescent="0.3">
      <c r="C155" s="104" t="s">
        <v>185</v>
      </c>
      <c r="D155" s="103">
        <f t="shared" ref="D155:P155" si="58">D112-D153</f>
        <v>6550.4716850989553</v>
      </c>
      <c r="E155" s="103">
        <f t="shared" si="58"/>
        <v>6867.3845931870565</v>
      </c>
      <c r="F155" s="103">
        <f t="shared" si="58"/>
        <v>6551.1565683779336</v>
      </c>
      <c r="G155" s="103">
        <f t="shared" si="58"/>
        <v>6025.8318357906483</v>
      </c>
      <c r="H155" s="103">
        <f t="shared" si="58"/>
        <v>8046.7359065056371</v>
      </c>
      <c r="I155" s="103">
        <f t="shared" si="58"/>
        <v>9199.5437863559455</v>
      </c>
      <c r="J155" s="103">
        <f t="shared" si="58"/>
        <v>10897.251130436169</v>
      </c>
      <c r="K155" s="103">
        <f t="shared" si="58"/>
        <v>9858.3994627833126</v>
      </c>
      <c r="L155" s="103">
        <f t="shared" si="58"/>
        <v>10213.265871401516</v>
      </c>
      <c r="M155" s="103">
        <f t="shared" si="58"/>
        <v>13012.412356643545</v>
      </c>
      <c r="N155" s="103">
        <f t="shared" si="58"/>
        <v>10390.735734867787</v>
      </c>
      <c r="O155" s="103">
        <f t="shared" si="58"/>
        <v>9578.2059031241479</v>
      </c>
      <c r="P155" s="103">
        <f t="shared" si="58"/>
        <v>107191.39483457274</v>
      </c>
      <c r="Q155" s="103">
        <f>Q112-Q153</f>
        <v>50039.72813504329</v>
      </c>
      <c r="R155" s="103"/>
    </row>
    <row r="156" spans="1:20" x14ac:dyDescent="0.3">
      <c r="C156" s="104"/>
      <c r="D156" s="43">
        <f t="shared" ref="D156:Q156" si="59">D155/D112</f>
        <v>0.30112620469179163</v>
      </c>
      <c r="E156" s="43">
        <f t="shared" si="59"/>
        <v>0.28791387597711243</v>
      </c>
      <c r="F156" s="43">
        <f t="shared" si="59"/>
        <v>0.2756903498365566</v>
      </c>
      <c r="G156" s="43">
        <f t="shared" si="59"/>
        <v>0.26912441836381823</v>
      </c>
      <c r="H156" s="43">
        <f t="shared" si="59"/>
        <v>0.30171938757990124</v>
      </c>
      <c r="I156" s="43">
        <f t="shared" si="59"/>
        <v>0.32626764496078969</v>
      </c>
      <c r="J156" s="43">
        <f t="shared" si="59"/>
        <v>0.31009967868262345</v>
      </c>
      <c r="K156" s="43">
        <f t="shared" si="59"/>
        <v>0.30984833000814915</v>
      </c>
      <c r="L156" s="43">
        <f t="shared" si="59"/>
        <v>0.3099286129668285</v>
      </c>
      <c r="M156" s="43">
        <f t="shared" si="59"/>
        <v>0.32675561522174201</v>
      </c>
      <c r="N156" s="43">
        <f t="shared" si="59"/>
        <v>0.31177513331356593</v>
      </c>
      <c r="O156" s="43">
        <f t="shared" si="59"/>
        <v>0.30654052250016051</v>
      </c>
      <c r="P156" s="43">
        <f t="shared" si="59"/>
        <v>0.30544683689704266</v>
      </c>
      <c r="Q156" s="43">
        <f t="shared" si="59"/>
        <v>0.17250051314832196</v>
      </c>
      <c r="R156" s="43"/>
    </row>
    <row r="157" spans="1:20" x14ac:dyDescent="0.3">
      <c r="C157" s="90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>
        <f t="shared" ref="P157:R174" si="60">D157+E157+F157+G157+H157+I157+J157+K157+L157+M157+N157+O157</f>
        <v>0</v>
      </c>
      <c r="Q157" s="62">
        <f t="shared" si="60"/>
        <v>0</v>
      </c>
      <c r="R157" s="62">
        <f t="shared" si="60"/>
        <v>0</v>
      </c>
    </row>
    <row r="158" spans="1:20" x14ac:dyDescent="0.3">
      <c r="C158" s="90" t="s">
        <v>186</v>
      </c>
      <c r="D158" s="62">
        <f t="shared" ref="D158:O171" si="61">D825+D848+D870+D892</f>
        <v>338.5</v>
      </c>
      <c r="E158" s="62">
        <f t="shared" si="61"/>
        <v>277.87</v>
      </c>
      <c r="F158" s="62">
        <f t="shared" si="61"/>
        <v>278.2</v>
      </c>
      <c r="G158" s="62">
        <f t="shared" si="61"/>
        <v>247</v>
      </c>
      <c r="H158" s="62">
        <f t="shared" si="61"/>
        <v>131.5</v>
      </c>
      <c r="I158" s="62">
        <f t="shared" si="61"/>
        <v>319.8</v>
      </c>
      <c r="J158" s="62">
        <f t="shared" si="61"/>
        <v>187.75</v>
      </c>
      <c r="K158" s="62">
        <f t="shared" si="61"/>
        <v>156.19999999999999</v>
      </c>
      <c r="L158" s="62">
        <f t="shared" si="61"/>
        <v>170.5</v>
      </c>
      <c r="M158" s="62">
        <f t="shared" si="61"/>
        <v>387.5</v>
      </c>
      <c r="N158" s="62">
        <f t="shared" si="61"/>
        <v>74.099999999999994</v>
      </c>
      <c r="O158" s="62">
        <f t="shared" si="61"/>
        <v>28.5</v>
      </c>
      <c r="P158" s="62">
        <f t="shared" si="60"/>
        <v>2597.4199999999996</v>
      </c>
      <c r="Q158" s="62">
        <f>'[6]PL COnly'!$AB$90*12/8</f>
        <v>657.86216849999994</v>
      </c>
      <c r="R158" s="91">
        <f t="shared" ref="R158:R173" si="62">(P158-Q158)/Q158</f>
        <v>2.9482738548751186</v>
      </c>
    </row>
    <row r="159" spans="1:20" x14ac:dyDescent="0.3">
      <c r="C159" s="90" t="s">
        <v>187</v>
      </c>
      <c r="D159" s="62">
        <f t="shared" si="61"/>
        <v>12.3</v>
      </c>
      <c r="E159" s="62">
        <f t="shared" si="61"/>
        <v>39.5</v>
      </c>
      <c r="F159" s="62">
        <f t="shared" si="61"/>
        <v>39.5</v>
      </c>
      <c r="G159" s="62">
        <f t="shared" si="61"/>
        <v>12.3</v>
      </c>
      <c r="H159" s="62">
        <f t="shared" si="61"/>
        <v>39.5</v>
      </c>
      <c r="I159" s="62">
        <f t="shared" si="61"/>
        <v>12.3</v>
      </c>
      <c r="J159" s="62">
        <f t="shared" si="61"/>
        <v>39.5</v>
      </c>
      <c r="K159" s="62">
        <f t="shared" si="61"/>
        <v>39.5</v>
      </c>
      <c r="L159" s="62">
        <f t="shared" si="61"/>
        <v>39.5</v>
      </c>
      <c r="M159" s="62">
        <f t="shared" si="61"/>
        <v>39.5</v>
      </c>
      <c r="N159" s="62">
        <f t="shared" si="61"/>
        <v>39.5</v>
      </c>
      <c r="O159" s="62">
        <f t="shared" si="61"/>
        <v>39.5</v>
      </c>
      <c r="P159" s="62">
        <f t="shared" si="60"/>
        <v>392.4</v>
      </c>
      <c r="Q159" s="62">
        <f>'[6]PL COnly'!$AB$92*12/8</f>
        <v>441.58206369000004</v>
      </c>
      <c r="R159" s="91">
        <f t="shared" si="62"/>
        <v>-0.1113769505921937</v>
      </c>
    </row>
    <row r="160" spans="1:20" x14ac:dyDescent="0.3">
      <c r="C160" s="90" t="s">
        <v>188</v>
      </c>
      <c r="D160" s="62">
        <f t="shared" si="61"/>
        <v>545.06877503105864</v>
      </c>
      <c r="E160" s="62">
        <f t="shared" si="61"/>
        <v>539.02751513939643</v>
      </c>
      <c r="F160" s="62">
        <f t="shared" si="61"/>
        <v>615.13766956238737</v>
      </c>
      <c r="G160" s="62">
        <f t="shared" si="61"/>
        <v>439.75274025638294</v>
      </c>
      <c r="H160" s="62">
        <f t="shared" si="61"/>
        <v>815.34502083570715</v>
      </c>
      <c r="I160" s="62">
        <f t="shared" si="61"/>
        <v>826.1056590724819</v>
      </c>
      <c r="J160" s="62">
        <f t="shared" si="61"/>
        <v>997.59623995634695</v>
      </c>
      <c r="K160" s="62">
        <f t="shared" si="61"/>
        <v>1085.9422687758556</v>
      </c>
      <c r="L160" s="62">
        <f t="shared" si="61"/>
        <v>1165.7182024974775</v>
      </c>
      <c r="M160" s="62">
        <f t="shared" si="61"/>
        <v>1165.2787455207206</v>
      </c>
      <c r="N160" s="62">
        <f t="shared" si="61"/>
        <v>1123.9636364517703</v>
      </c>
      <c r="O160" s="62">
        <f t="shared" si="61"/>
        <v>1069.1336648953647</v>
      </c>
      <c r="P160" s="62">
        <f t="shared" si="60"/>
        <v>10388.07013799495</v>
      </c>
      <c r="Q160" s="62">
        <f>'[6]PL COnly'!$AB$91*12/8+112.07</f>
        <v>11795.017487870002</v>
      </c>
      <c r="R160" s="91">
        <f t="shared" si="62"/>
        <v>-0.11928319320611072</v>
      </c>
    </row>
    <row r="161" spans="3:18" x14ac:dyDescent="0.3">
      <c r="C161" s="90" t="s">
        <v>189</v>
      </c>
      <c r="D161" s="62">
        <f t="shared" si="61"/>
        <v>31.5</v>
      </c>
      <c r="E161" s="62">
        <f t="shared" si="61"/>
        <v>31.5</v>
      </c>
      <c r="F161" s="62">
        <f t="shared" si="61"/>
        <v>31</v>
      </c>
      <c r="G161" s="62">
        <f t="shared" si="61"/>
        <v>32.5</v>
      </c>
      <c r="H161" s="62">
        <f t="shared" si="61"/>
        <v>31.5</v>
      </c>
      <c r="I161" s="62">
        <f t="shared" si="61"/>
        <v>31</v>
      </c>
      <c r="J161" s="62">
        <f t="shared" si="61"/>
        <v>31</v>
      </c>
      <c r="K161" s="62">
        <f t="shared" si="61"/>
        <v>31</v>
      </c>
      <c r="L161" s="62">
        <f t="shared" si="61"/>
        <v>31</v>
      </c>
      <c r="M161" s="62">
        <f t="shared" si="61"/>
        <v>31</v>
      </c>
      <c r="N161" s="62">
        <f t="shared" si="61"/>
        <v>31</v>
      </c>
      <c r="O161" s="62">
        <f t="shared" si="61"/>
        <v>31</v>
      </c>
      <c r="P161" s="62">
        <f t="shared" si="60"/>
        <v>375</v>
      </c>
      <c r="Q161" s="62">
        <f>'[6]PL COnly'!$AB$98*12/8</f>
        <v>45.421422</v>
      </c>
      <c r="R161" s="91">
        <f t="shared" si="62"/>
        <v>7.2560162911676347</v>
      </c>
    </row>
    <row r="162" spans="3:18" x14ac:dyDescent="0.3">
      <c r="C162" s="90" t="s">
        <v>190</v>
      </c>
      <c r="D162" s="62">
        <f t="shared" si="61"/>
        <v>74.34</v>
      </c>
      <c r="E162" s="62">
        <f t="shared" si="61"/>
        <v>70.37</v>
      </c>
      <c r="F162" s="62">
        <f t="shared" si="61"/>
        <v>96.7</v>
      </c>
      <c r="G162" s="62">
        <f t="shared" si="61"/>
        <v>18.480000000000004</v>
      </c>
      <c r="H162" s="62">
        <f t="shared" si="61"/>
        <v>69.669999999999987</v>
      </c>
      <c r="I162" s="62">
        <f t="shared" si="61"/>
        <v>74.540000000000006</v>
      </c>
      <c r="J162" s="62">
        <f t="shared" si="61"/>
        <v>108.93</v>
      </c>
      <c r="K162" s="62">
        <f t="shared" si="61"/>
        <v>80.77</v>
      </c>
      <c r="L162" s="62">
        <f t="shared" si="61"/>
        <v>75.559999999999988</v>
      </c>
      <c r="M162" s="62">
        <f t="shared" si="61"/>
        <v>105.5</v>
      </c>
      <c r="N162" s="62">
        <f t="shared" si="61"/>
        <v>118.58</v>
      </c>
      <c r="O162" s="62">
        <f t="shared" si="61"/>
        <v>73.8</v>
      </c>
      <c r="P162" s="62">
        <f t="shared" si="60"/>
        <v>967.24</v>
      </c>
      <c r="Q162" s="62">
        <f>'[6]PL COnly'!$AB$93*12/8</f>
        <v>1051.9675021349999</v>
      </c>
      <c r="R162" s="91">
        <f t="shared" si="62"/>
        <v>-8.0541938760506249E-2</v>
      </c>
    </row>
    <row r="163" spans="3:18" x14ac:dyDescent="0.3">
      <c r="C163" s="90" t="s">
        <v>191</v>
      </c>
      <c r="D163" s="62">
        <f t="shared" si="61"/>
        <v>0</v>
      </c>
      <c r="E163" s="62">
        <f t="shared" si="61"/>
        <v>0</v>
      </c>
      <c r="F163" s="62">
        <f t="shared" si="61"/>
        <v>0</v>
      </c>
      <c r="G163" s="62">
        <f t="shared" si="61"/>
        <v>0</v>
      </c>
      <c r="H163" s="62">
        <f t="shared" si="61"/>
        <v>0</v>
      </c>
      <c r="I163" s="62">
        <f t="shared" si="61"/>
        <v>0</v>
      </c>
      <c r="J163" s="62">
        <f t="shared" si="61"/>
        <v>0</v>
      </c>
      <c r="K163" s="62">
        <f t="shared" si="61"/>
        <v>0</v>
      </c>
      <c r="L163" s="62">
        <f t="shared" si="61"/>
        <v>0</v>
      </c>
      <c r="M163" s="62">
        <f t="shared" si="61"/>
        <v>0</v>
      </c>
      <c r="N163" s="62">
        <f t="shared" si="61"/>
        <v>0</v>
      </c>
      <c r="O163" s="62">
        <f t="shared" si="61"/>
        <v>0</v>
      </c>
      <c r="P163" s="62">
        <f t="shared" si="60"/>
        <v>0</v>
      </c>
      <c r="Q163" s="62">
        <f>'[6]PL COnly'!$AB$94*12/8</f>
        <v>25.128628500000005</v>
      </c>
      <c r="R163" s="91">
        <f t="shared" si="62"/>
        <v>-1</v>
      </c>
    </row>
    <row r="164" spans="3:18" x14ac:dyDescent="0.3">
      <c r="C164" s="90" t="s">
        <v>192</v>
      </c>
      <c r="D164" s="62">
        <f t="shared" si="61"/>
        <v>0</v>
      </c>
      <c r="E164" s="62">
        <f t="shared" si="61"/>
        <v>0</v>
      </c>
      <c r="F164" s="62">
        <f t="shared" si="61"/>
        <v>0</v>
      </c>
      <c r="G164" s="62">
        <f t="shared" si="61"/>
        <v>0</v>
      </c>
      <c r="H164" s="62">
        <f t="shared" si="61"/>
        <v>0</v>
      </c>
      <c r="I164" s="62">
        <f t="shared" si="61"/>
        <v>0</v>
      </c>
      <c r="J164" s="62">
        <f t="shared" si="61"/>
        <v>0</v>
      </c>
      <c r="K164" s="62">
        <f t="shared" si="61"/>
        <v>0</v>
      </c>
      <c r="L164" s="62">
        <f t="shared" si="61"/>
        <v>0</v>
      </c>
      <c r="M164" s="62">
        <f t="shared" si="61"/>
        <v>0</v>
      </c>
      <c r="N164" s="62">
        <f t="shared" si="61"/>
        <v>0</v>
      </c>
      <c r="O164" s="62">
        <f t="shared" si="61"/>
        <v>0</v>
      </c>
      <c r="P164" s="62">
        <f t="shared" si="60"/>
        <v>0</v>
      </c>
      <c r="Q164" s="62"/>
      <c r="R164" s="91"/>
    </row>
    <row r="165" spans="3:18" x14ac:dyDescent="0.3">
      <c r="C165" s="90" t="s">
        <v>193</v>
      </c>
      <c r="D165" s="62">
        <f t="shared" si="61"/>
        <v>0.55000000000000004</v>
      </c>
      <c r="E165" s="62">
        <f t="shared" si="61"/>
        <v>0.55000000000000004</v>
      </c>
      <c r="F165" s="62">
        <f t="shared" si="61"/>
        <v>0.55000000000000004</v>
      </c>
      <c r="G165" s="62">
        <f t="shared" si="61"/>
        <v>0.55000000000000004</v>
      </c>
      <c r="H165" s="62">
        <f t="shared" si="61"/>
        <v>0.55000000000000004</v>
      </c>
      <c r="I165" s="62">
        <f t="shared" si="61"/>
        <v>0.55000000000000004</v>
      </c>
      <c r="J165" s="62">
        <f t="shared" si="61"/>
        <v>0.55000000000000004</v>
      </c>
      <c r="K165" s="62">
        <f t="shared" si="61"/>
        <v>0.55000000000000004</v>
      </c>
      <c r="L165" s="62">
        <f t="shared" si="61"/>
        <v>0.55000000000000004</v>
      </c>
      <c r="M165" s="62">
        <f t="shared" si="61"/>
        <v>0.55000000000000004</v>
      </c>
      <c r="N165" s="62">
        <f t="shared" si="61"/>
        <v>0.55000000000000004</v>
      </c>
      <c r="O165" s="62">
        <f t="shared" si="61"/>
        <v>0.55000000000000004</v>
      </c>
      <c r="P165" s="62">
        <f t="shared" si="60"/>
        <v>6.5999999999999988</v>
      </c>
      <c r="Q165" s="62"/>
      <c r="R165" s="91"/>
    </row>
    <row r="166" spans="3:18" x14ac:dyDescent="0.3">
      <c r="C166" s="90" t="s">
        <v>194</v>
      </c>
      <c r="D166" s="62">
        <f t="shared" si="61"/>
        <v>422.78379454660001</v>
      </c>
      <c r="E166" s="62">
        <f t="shared" si="61"/>
        <v>422.78379454660001</v>
      </c>
      <c r="F166" s="62">
        <f t="shared" si="61"/>
        <v>422.78379454660001</v>
      </c>
      <c r="G166" s="62">
        <f t="shared" si="61"/>
        <v>422.78379454660001</v>
      </c>
      <c r="H166" s="62">
        <f t="shared" si="61"/>
        <v>422.78379454660001</v>
      </c>
      <c r="I166" s="62">
        <f t="shared" si="61"/>
        <v>422.78379454660001</v>
      </c>
      <c r="J166" s="62">
        <f t="shared" si="61"/>
        <v>422.78379454660001</v>
      </c>
      <c r="K166" s="62">
        <f t="shared" si="61"/>
        <v>422.78379454660001</v>
      </c>
      <c r="L166" s="62">
        <f t="shared" si="61"/>
        <v>422.78379454660001</v>
      </c>
      <c r="M166" s="62">
        <f t="shared" si="61"/>
        <v>422.78379454660001</v>
      </c>
      <c r="N166" s="62">
        <f t="shared" si="61"/>
        <v>422.78379454660001</v>
      </c>
      <c r="O166" s="62">
        <f t="shared" si="61"/>
        <v>422.78379454660001</v>
      </c>
      <c r="P166" s="62">
        <f t="shared" si="60"/>
        <v>5073.4055345591996</v>
      </c>
      <c r="Q166" s="62">
        <f>'[6]PL COnly'!$AB$96*12/8</f>
        <v>2129.7221510267555</v>
      </c>
      <c r="R166" s="91">
        <f t="shared" si="62"/>
        <v>1.3821912788545077</v>
      </c>
    </row>
    <row r="167" spans="3:18" x14ac:dyDescent="0.3">
      <c r="C167" s="90" t="s">
        <v>195</v>
      </c>
      <c r="D167" s="62">
        <f t="shared" si="61"/>
        <v>27.29129944846607</v>
      </c>
      <c r="E167" s="62">
        <f t="shared" si="61"/>
        <v>27.29129944846607</v>
      </c>
      <c r="F167" s="62">
        <f t="shared" si="61"/>
        <v>27.29129944846607</v>
      </c>
      <c r="G167" s="62">
        <f t="shared" si="61"/>
        <v>27.29129944846607</v>
      </c>
      <c r="H167" s="62">
        <f t="shared" si="61"/>
        <v>27.29129944846607</v>
      </c>
      <c r="I167" s="62">
        <f t="shared" si="61"/>
        <v>27.29129944846607</v>
      </c>
      <c r="J167" s="62">
        <f t="shared" si="61"/>
        <v>27.29129944846607</v>
      </c>
      <c r="K167" s="62">
        <f t="shared" si="61"/>
        <v>27.29129944846607</v>
      </c>
      <c r="L167" s="62">
        <f t="shared" si="61"/>
        <v>27.29129944846607</v>
      </c>
      <c r="M167" s="62">
        <f t="shared" si="61"/>
        <v>27.29129944846607</v>
      </c>
      <c r="N167" s="62">
        <f t="shared" si="61"/>
        <v>27.29129944846607</v>
      </c>
      <c r="O167" s="62">
        <f t="shared" si="61"/>
        <v>27.29129944846607</v>
      </c>
      <c r="P167" s="62">
        <f t="shared" si="60"/>
        <v>327.49559338159287</v>
      </c>
      <c r="Q167" s="62"/>
      <c r="R167" s="91"/>
    </row>
    <row r="168" spans="3:18" x14ac:dyDescent="0.3">
      <c r="C168" s="90" t="s">
        <v>196</v>
      </c>
      <c r="D168" s="62">
        <f t="shared" si="61"/>
        <v>22.375598672796002</v>
      </c>
      <c r="E168" s="62">
        <f t="shared" si="61"/>
        <v>22.375598672796002</v>
      </c>
      <c r="F168" s="62">
        <f t="shared" si="61"/>
        <v>22.375598672796002</v>
      </c>
      <c r="G168" s="62">
        <f t="shared" si="61"/>
        <v>22.375598672796002</v>
      </c>
      <c r="H168" s="62">
        <f t="shared" si="61"/>
        <v>22.375598672796002</v>
      </c>
      <c r="I168" s="62">
        <f t="shared" si="61"/>
        <v>22.375598672796002</v>
      </c>
      <c r="J168" s="62">
        <f t="shared" si="61"/>
        <v>22.375598672796002</v>
      </c>
      <c r="K168" s="62">
        <f t="shared" si="61"/>
        <v>22.375598672796002</v>
      </c>
      <c r="L168" s="62">
        <f t="shared" si="61"/>
        <v>22.375598672796002</v>
      </c>
      <c r="M168" s="62">
        <f t="shared" si="61"/>
        <v>22.375598672796002</v>
      </c>
      <c r="N168" s="62">
        <f t="shared" si="61"/>
        <v>22.375598672796002</v>
      </c>
      <c r="O168" s="62">
        <f t="shared" si="61"/>
        <v>22.375598672796002</v>
      </c>
      <c r="P168" s="62">
        <f t="shared" si="60"/>
        <v>268.50718407355203</v>
      </c>
      <c r="Q168" s="62"/>
      <c r="R168" s="91"/>
    </row>
    <row r="169" spans="3:18" x14ac:dyDescent="0.3">
      <c r="C169" s="90" t="s">
        <v>197</v>
      </c>
      <c r="D169" s="62">
        <f t="shared" si="61"/>
        <v>6.4100498879166672</v>
      </c>
      <c r="E169" s="62">
        <f t="shared" si="61"/>
        <v>6.4100498879166672</v>
      </c>
      <c r="F169" s="62">
        <f t="shared" si="61"/>
        <v>6.4100498879166672</v>
      </c>
      <c r="G169" s="62">
        <f t="shared" si="61"/>
        <v>6.4100498879166672</v>
      </c>
      <c r="H169" s="62">
        <f t="shared" si="61"/>
        <v>6.4100498879166672</v>
      </c>
      <c r="I169" s="62">
        <f t="shared" si="61"/>
        <v>6.4100498879166672</v>
      </c>
      <c r="J169" s="62">
        <f t="shared" si="61"/>
        <v>6.4100498879166672</v>
      </c>
      <c r="K169" s="62">
        <f t="shared" si="61"/>
        <v>6.4100498879166672</v>
      </c>
      <c r="L169" s="62">
        <f t="shared" si="61"/>
        <v>6.4100498879166672</v>
      </c>
      <c r="M169" s="62">
        <f t="shared" si="61"/>
        <v>6.4100498879166672</v>
      </c>
      <c r="N169" s="62">
        <f t="shared" si="61"/>
        <v>6.4100498879166672</v>
      </c>
      <c r="O169" s="62">
        <f t="shared" si="61"/>
        <v>6.4100498879166672</v>
      </c>
      <c r="P169" s="62">
        <f t="shared" si="60"/>
        <v>76.920598655000035</v>
      </c>
      <c r="Q169" s="62"/>
      <c r="R169" s="91"/>
    </row>
    <row r="170" spans="3:18" x14ac:dyDescent="0.3">
      <c r="C170" s="90" t="s">
        <v>198</v>
      </c>
      <c r="D170" s="62">
        <f>D837+D860+D882+D904</f>
        <v>32.283232878883332</v>
      </c>
      <c r="E170" s="62">
        <f t="shared" si="61"/>
        <v>32.283232878883332</v>
      </c>
      <c r="F170" s="62">
        <f t="shared" si="61"/>
        <v>32.283232878883332</v>
      </c>
      <c r="G170" s="62">
        <f t="shared" si="61"/>
        <v>32.283232878883332</v>
      </c>
      <c r="H170" s="62">
        <f t="shared" si="61"/>
        <v>32.283232878883332</v>
      </c>
      <c r="I170" s="62">
        <f t="shared" si="61"/>
        <v>32.283232878883332</v>
      </c>
      <c r="J170" s="62">
        <f t="shared" si="61"/>
        <v>32.283232878883332</v>
      </c>
      <c r="K170" s="62">
        <f t="shared" si="61"/>
        <v>32.283232878883332</v>
      </c>
      <c r="L170" s="62">
        <f t="shared" si="61"/>
        <v>32.283232878883332</v>
      </c>
      <c r="M170" s="62">
        <f t="shared" si="61"/>
        <v>32.283232878883332</v>
      </c>
      <c r="N170" s="62">
        <f t="shared" si="61"/>
        <v>32.283232878883332</v>
      </c>
      <c r="O170" s="62">
        <f t="shared" si="61"/>
        <v>32.283232878883332</v>
      </c>
      <c r="P170" s="62">
        <f t="shared" si="60"/>
        <v>387.39879454659996</v>
      </c>
      <c r="Q170" s="62"/>
      <c r="R170" s="91"/>
    </row>
    <row r="171" spans="3:18" x14ac:dyDescent="0.3">
      <c r="C171" s="90" t="s">
        <v>199</v>
      </c>
      <c r="D171" s="62">
        <f>D838+D861+D883+D905</f>
        <v>24.166941666666666</v>
      </c>
      <c r="E171" s="62">
        <f t="shared" si="61"/>
        <v>24.166941666666666</v>
      </c>
      <c r="F171" s="62">
        <f t="shared" si="61"/>
        <v>24.166941666666666</v>
      </c>
      <c r="G171" s="62">
        <f t="shared" si="61"/>
        <v>24.166941666666666</v>
      </c>
      <c r="H171" s="62">
        <f t="shared" si="61"/>
        <v>24.166941666666666</v>
      </c>
      <c r="I171" s="62">
        <f t="shared" si="61"/>
        <v>24.166941666666666</v>
      </c>
      <c r="J171" s="62">
        <f t="shared" si="61"/>
        <v>24.166941666666666</v>
      </c>
      <c r="K171" s="62">
        <f t="shared" si="61"/>
        <v>24.166941666666666</v>
      </c>
      <c r="L171" s="62">
        <f t="shared" si="61"/>
        <v>24.166941666666666</v>
      </c>
      <c r="M171" s="62">
        <f t="shared" si="61"/>
        <v>24.166941666666666</v>
      </c>
      <c r="N171" s="62">
        <f t="shared" si="61"/>
        <v>24.166941666666666</v>
      </c>
      <c r="O171" s="62">
        <f t="shared" si="61"/>
        <v>24.166941666666666</v>
      </c>
      <c r="P171" s="62">
        <f t="shared" si="60"/>
        <v>290.00330000000002</v>
      </c>
      <c r="Q171" s="62"/>
      <c r="R171" s="91"/>
    </row>
    <row r="172" spans="3:18" x14ac:dyDescent="0.3">
      <c r="C172" s="90" t="s">
        <v>200</v>
      </c>
      <c r="D172" s="62">
        <f>D839</f>
        <v>177.905203</v>
      </c>
      <c r="E172" s="62">
        <f t="shared" ref="E172:O172" si="63">E839</f>
        <v>177.905203</v>
      </c>
      <c r="F172" s="62">
        <f t="shared" si="63"/>
        <v>177.905203</v>
      </c>
      <c r="G172" s="62">
        <f t="shared" si="63"/>
        <v>177.905203</v>
      </c>
      <c r="H172" s="62">
        <f t="shared" si="63"/>
        <v>177.905203</v>
      </c>
      <c r="I172" s="62">
        <f t="shared" si="63"/>
        <v>177.905203</v>
      </c>
      <c r="J172" s="62">
        <f t="shared" si="63"/>
        <v>177.905203</v>
      </c>
      <c r="K172" s="62">
        <f t="shared" si="63"/>
        <v>177.905203</v>
      </c>
      <c r="L172" s="62">
        <f t="shared" si="63"/>
        <v>177.905203</v>
      </c>
      <c r="M172" s="62">
        <f t="shared" si="63"/>
        <v>177.905203</v>
      </c>
      <c r="N172" s="62">
        <f t="shared" si="63"/>
        <v>177.905203</v>
      </c>
      <c r="O172" s="62">
        <f t="shared" si="63"/>
        <v>177.905203</v>
      </c>
      <c r="P172" s="62">
        <f t="shared" si="60"/>
        <v>2134.8624359999999</v>
      </c>
      <c r="Q172" s="62">
        <f>'[6]PL COnly'!$AB$97*12/8</f>
        <v>630.64453106250005</v>
      </c>
      <c r="R172" s="91">
        <f t="shared" si="62"/>
        <v>2.385207245678032</v>
      </c>
    </row>
    <row r="173" spans="3:18" x14ac:dyDescent="0.3">
      <c r="C173" s="90" t="s">
        <v>201</v>
      </c>
      <c r="D173" s="62">
        <f t="shared" ref="D173:O173" si="64">D840+D862+D884+D906</f>
        <v>0</v>
      </c>
      <c r="E173" s="62">
        <f t="shared" si="64"/>
        <v>0</v>
      </c>
      <c r="F173" s="62">
        <f t="shared" si="64"/>
        <v>0</v>
      </c>
      <c r="G173" s="62">
        <f t="shared" si="64"/>
        <v>0</v>
      </c>
      <c r="H173" s="62">
        <f t="shared" si="64"/>
        <v>0</v>
      </c>
      <c r="I173" s="62">
        <f t="shared" si="64"/>
        <v>0</v>
      </c>
      <c r="J173" s="62">
        <f t="shared" si="64"/>
        <v>0</v>
      </c>
      <c r="K173" s="62">
        <f t="shared" si="64"/>
        <v>0</v>
      </c>
      <c r="L173" s="62">
        <f t="shared" si="64"/>
        <v>0</v>
      </c>
      <c r="M173" s="62">
        <f t="shared" si="64"/>
        <v>0</v>
      </c>
      <c r="N173" s="62">
        <f t="shared" si="64"/>
        <v>0</v>
      </c>
      <c r="O173" s="62">
        <f t="shared" si="64"/>
        <v>0</v>
      </c>
      <c r="P173" s="62">
        <f t="shared" si="60"/>
        <v>0</v>
      </c>
      <c r="Q173" s="62">
        <f>'[6]PL COnly'!$AB$95*12/8</f>
        <v>515.36925005302817</v>
      </c>
      <c r="R173" s="91">
        <f t="shared" si="62"/>
        <v>-1</v>
      </c>
    </row>
    <row r="174" spans="3:18" x14ac:dyDescent="0.3">
      <c r="C174" s="90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>
        <f t="shared" si="60"/>
        <v>0</v>
      </c>
      <c r="Q174" s="62"/>
      <c r="R174" s="62"/>
    </row>
    <row r="175" spans="3:18" x14ac:dyDescent="0.3">
      <c r="C175" s="90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</row>
    <row r="176" spans="3:18" ht="13.5" thickBot="1" x14ac:dyDescent="0.35">
      <c r="C176" s="90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</row>
    <row r="177" spans="3:20" ht="13.5" thickBot="1" x14ac:dyDescent="0.35">
      <c r="C177" s="92" t="s">
        <v>202</v>
      </c>
      <c r="D177" s="93">
        <f t="shared" ref="D177:Q177" si="65">SUM(D158:D176)</f>
        <v>1715.4748951323875</v>
      </c>
      <c r="E177" s="93">
        <f t="shared" si="65"/>
        <v>1672.0336352407253</v>
      </c>
      <c r="F177" s="93">
        <f t="shared" si="65"/>
        <v>1774.3037896637161</v>
      </c>
      <c r="G177" s="93">
        <f t="shared" si="65"/>
        <v>1463.7988603577119</v>
      </c>
      <c r="H177" s="93">
        <f t="shared" si="65"/>
        <v>1801.2811409370361</v>
      </c>
      <c r="I177" s="93">
        <f t="shared" si="65"/>
        <v>1977.5117791738107</v>
      </c>
      <c r="J177" s="93">
        <f t="shared" si="65"/>
        <v>2078.5423600576755</v>
      </c>
      <c r="K177" s="93">
        <f t="shared" si="65"/>
        <v>2107.1783888771843</v>
      </c>
      <c r="L177" s="93">
        <f t="shared" si="65"/>
        <v>2196.044322598806</v>
      </c>
      <c r="M177" s="93">
        <f t="shared" si="65"/>
        <v>2442.5448656220487</v>
      </c>
      <c r="N177" s="93">
        <f t="shared" si="65"/>
        <v>2100.9097565530988</v>
      </c>
      <c r="O177" s="93">
        <f t="shared" si="65"/>
        <v>1955.6997849966933</v>
      </c>
      <c r="P177" s="93">
        <f t="shared" si="65"/>
        <v>23285.323579210894</v>
      </c>
      <c r="Q177" s="93">
        <f t="shared" si="65"/>
        <v>17292.715204837285</v>
      </c>
      <c r="R177" s="85">
        <f t="shared" ref="R177" si="66">(P177-Q177)/Q177</f>
        <v>0.34653947071870467</v>
      </c>
      <c r="S177" s="17">
        <f>Q177-Q24</f>
        <v>-8.9927796580013819E-4</v>
      </c>
      <c r="T177" s="101"/>
    </row>
    <row r="178" spans="3:20" x14ac:dyDescent="0.3">
      <c r="C178" s="94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</row>
    <row r="179" spans="3:20" ht="15" customHeight="1" x14ac:dyDescent="0.3">
      <c r="C179" s="90" t="s">
        <v>203</v>
      </c>
      <c r="D179" s="62">
        <f>([7]Sheet3!$G$14/1000000)+('[8]Budget Upah per cost center'!$C$32/1000000)</f>
        <v>723.69745164076949</v>
      </c>
      <c r="E179" s="62">
        <f t="shared" ref="E179:O185" si="67">D179</f>
        <v>723.69745164076949</v>
      </c>
      <c r="F179" s="62">
        <f t="shared" si="67"/>
        <v>723.69745164076949</v>
      </c>
      <c r="G179" s="62">
        <f t="shared" si="67"/>
        <v>723.69745164076949</v>
      </c>
      <c r="H179" s="62">
        <f t="shared" si="67"/>
        <v>723.69745164076949</v>
      </c>
      <c r="I179" s="62">
        <f t="shared" si="67"/>
        <v>723.69745164076949</v>
      </c>
      <c r="J179" s="62">
        <f t="shared" si="67"/>
        <v>723.69745164076949</v>
      </c>
      <c r="K179" s="62">
        <f t="shared" si="67"/>
        <v>723.69745164076949</v>
      </c>
      <c r="L179" s="62">
        <f t="shared" si="67"/>
        <v>723.69745164076949</v>
      </c>
      <c r="M179" s="62">
        <f t="shared" si="67"/>
        <v>723.69745164076949</v>
      </c>
      <c r="N179" s="62">
        <f t="shared" si="67"/>
        <v>723.69745164076949</v>
      </c>
      <c r="O179" s="62">
        <f t="shared" si="67"/>
        <v>723.69745164076949</v>
      </c>
      <c r="P179" s="62">
        <f>SUM(D179:O179)</f>
        <v>8684.3694196892357</v>
      </c>
      <c r="Q179" s="62">
        <f>'[6]PL COnly'!$AB$105*12/8</f>
        <v>18021.12966303651</v>
      </c>
      <c r="R179" s="91">
        <f t="shared" ref="R179:R209" si="68">(P179-Q179)/Q179</f>
        <v>-0.5181007194292645</v>
      </c>
    </row>
    <row r="180" spans="3:20" ht="15" customHeight="1" x14ac:dyDescent="0.3">
      <c r="C180" s="90" t="s">
        <v>204</v>
      </c>
      <c r="D180" s="62">
        <f>('[8]Budget Upah per cost center'!$F$32/1000000)/12</f>
        <v>1.9593178254431605</v>
      </c>
      <c r="E180" s="62">
        <f t="shared" si="67"/>
        <v>1.9593178254431605</v>
      </c>
      <c r="F180" s="62">
        <f t="shared" si="67"/>
        <v>1.9593178254431605</v>
      </c>
      <c r="G180" s="62">
        <f t="shared" si="67"/>
        <v>1.9593178254431605</v>
      </c>
      <c r="H180" s="62">
        <f t="shared" si="67"/>
        <v>1.9593178254431605</v>
      </c>
      <c r="I180" s="62">
        <f t="shared" si="67"/>
        <v>1.9593178254431605</v>
      </c>
      <c r="J180" s="62">
        <f t="shared" si="67"/>
        <v>1.9593178254431605</v>
      </c>
      <c r="K180" s="62">
        <f t="shared" si="67"/>
        <v>1.9593178254431605</v>
      </c>
      <c r="L180" s="62">
        <f t="shared" si="67"/>
        <v>1.9593178254431605</v>
      </c>
      <c r="M180" s="62">
        <f t="shared" si="67"/>
        <v>1.9593178254431605</v>
      </c>
      <c r="N180" s="62">
        <f t="shared" si="67"/>
        <v>1.9593178254431605</v>
      </c>
      <c r="O180" s="62">
        <f t="shared" si="67"/>
        <v>1.9593178254431605</v>
      </c>
      <c r="P180" s="62">
        <f t="shared" ref="P180:P210" si="69">SUM(D180:O180)</f>
        <v>23.511813905317933</v>
      </c>
      <c r="Q180" s="62"/>
      <c r="R180" s="91" t="s">
        <v>98</v>
      </c>
    </row>
    <row r="181" spans="3:20" x14ac:dyDescent="0.3">
      <c r="C181" s="90" t="s">
        <v>205</v>
      </c>
      <c r="D181" s="62">
        <f>([7]Sheet3!$I$14+[7]Sheet3!$M$14)/1000000+(('[9]Budget Benefit per cost center'!$E$32+'[9]Budget Benefit per cost center'!$F$32)/1000000)</f>
        <v>26.191633821833335</v>
      </c>
      <c r="E181" s="62">
        <f t="shared" si="67"/>
        <v>26.191633821833335</v>
      </c>
      <c r="F181" s="62">
        <f t="shared" si="67"/>
        <v>26.191633821833335</v>
      </c>
      <c r="G181" s="62">
        <f t="shared" si="67"/>
        <v>26.191633821833335</v>
      </c>
      <c r="H181" s="62">
        <f t="shared" si="67"/>
        <v>26.191633821833335</v>
      </c>
      <c r="I181" s="62">
        <f t="shared" si="67"/>
        <v>26.191633821833335</v>
      </c>
      <c r="J181" s="62">
        <f t="shared" si="67"/>
        <v>26.191633821833335</v>
      </c>
      <c r="K181" s="62">
        <f t="shared" si="67"/>
        <v>26.191633821833335</v>
      </c>
      <c r="L181" s="62">
        <f t="shared" si="67"/>
        <v>26.191633821833335</v>
      </c>
      <c r="M181" s="62">
        <f t="shared" si="67"/>
        <v>26.191633821833335</v>
      </c>
      <c r="N181" s="62">
        <f t="shared" si="67"/>
        <v>26.191633821833335</v>
      </c>
      <c r="O181" s="62">
        <f t="shared" si="67"/>
        <v>26.191633821833335</v>
      </c>
      <c r="P181" s="62">
        <f t="shared" si="69"/>
        <v>314.29960586200002</v>
      </c>
      <c r="Q181" s="62"/>
      <c r="R181" s="91" t="s">
        <v>98</v>
      </c>
    </row>
    <row r="182" spans="3:20" x14ac:dyDescent="0.3">
      <c r="C182" s="90" t="s">
        <v>206</v>
      </c>
      <c r="D182" s="62">
        <f>[7]Sheet3!$L$14/1000000+('[9]Budget Benefit per cost center'!$F$32/1000000)</f>
        <v>36.488789054446144</v>
      </c>
      <c r="E182" s="62">
        <f t="shared" si="67"/>
        <v>36.488789054446144</v>
      </c>
      <c r="F182" s="62">
        <f t="shared" si="67"/>
        <v>36.488789054446144</v>
      </c>
      <c r="G182" s="62">
        <f t="shared" si="67"/>
        <v>36.488789054446144</v>
      </c>
      <c r="H182" s="62">
        <f t="shared" si="67"/>
        <v>36.488789054446144</v>
      </c>
      <c r="I182" s="62">
        <f t="shared" si="67"/>
        <v>36.488789054446144</v>
      </c>
      <c r="J182" s="62">
        <f t="shared" si="67"/>
        <v>36.488789054446144</v>
      </c>
      <c r="K182" s="62">
        <f t="shared" si="67"/>
        <v>36.488789054446144</v>
      </c>
      <c r="L182" s="62">
        <f t="shared" si="67"/>
        <v>36.488789054446144</v>
      </c>
      <c r="M182" s="62">
        <f t="shared" si="67"/>
        <v>36.488789054446144</v>
      </c>
      <c r="N182" s="62">
        <f t="shared" si="67"/>
        <v>36.488789054446144</v>
      </c>
      <c r="O182" s="62">
        <f t="shared" si="67"/>
        <v>36.488789054446144</v>
      </c>
      <c r="P182" s="62">
        <f t="shared" si="69"/>
        <v>437.86546865335384</v>
      </c>
      <c r="Q182" s="62">
        <f>'[6]PL COnly'!$AB$106*12/8</f>
        <v>2221.8681552414751</v>
      </c>
      <c r="R182" s="91">
        <f t="shared" si="68"/>
        <v>-0.80292913977797831</v>
      </c>
    </row>
    <row r="183" spans="3:20" x14ac:dyDescent="0.3">
      <c r="C183" s="90" t="s">
        <v>207</v>
      </c>
      <c r="D183" s="62">
        <f>[7]Sheet3!$N$14/1000000</f>
        <v>12.939131183750003</v>
      </c>
      <c r="E183" s="62">
        <f t="shared" si="67"/>
        <v>12.939131183750003</v>
      </c>
      <c r="F183" s="62">
        <f t="shared" si="67"/>
        <v>12.939131183750003</v>
      </c>
      <c r="G183" s="62">
        <f t="shared" si="67"/>
        <v>12.939131183750003</v>
      </c>
      <c r="H183" s="62">
        <f t="shared" si="67"/>
        <v>12.939131183750003</v>
      </c>
      <c r="I183" s="62">
        <f t="shared" si="67"/>
        <v>12.939131183750003</v>
      </c>
      <c r="J183" s="62">
        <f t="shared" si="67"/>
        <v>12.939131183750003</v>
      </c>
      <c r="K183" s="62">
        <f t="shared" si="67"/>
        <v>12.939131183750003</v>
      </c>
      <c r="L183" s="62">
        <f t="shared" si="67"/>
        <v>12.939131183750003</v>
      </c>
      <c r="M183" s="62">
        <f t="shared" si="67"/>
        <v>12.939131183750003</v>
      </c>
      <c r="N183" s="62">
        <f t="shared" si="67"/>
        <v>12.939131183750003</v>
      </c>
      <c r="O183" s="62">
        <f t="shared" si="67"/>
        <v>12.939131183750003</v>
      </c>
      <c r="P183" s="62">
        <f t="shared" si="69"/>
        <v>155.26957420500003</v>
      </c>
      <c r="Q183" s="62"/>
      <c r="R183" s="91" t="s">
        <v>98</v>
      </c>
    </row>
    <row r="184" spans="3:20" x14ac:dyDescent="0.3">
      <c r="C184" s="90" t="s">
        <v>208</v>
      </c>
      <c r="D184" s="62">
        <f>('[8]Budget Upah per cost center'!$D$32/12)/1000000+([7]Sheet3!$H$14/1000000)</f>
        <v>54.699787636730782</v>
      </c>
      <c r="E184" s="62">
        <f t="shared" si="67"/>
        <v>54.699787636730782</v>
      </c>
      <c r="F184" s="62">
        <f t="shared" si="67"/>
        <v>54.699787636730782</v>
      </c>
      <c r="G184" s="62">
        <f t="shared" si="67"/>
        <v>54.699787636730782</v>
      </c>
      <c r="H184" s="62">
        <f t="shared" si="67"/>
        <v>54.699787636730782</v>
      </c>
      <c r="I184" s="62">
        <f t="shared" si="67"/>
        <v>54.699787636730782</v>
      </c>
      <c r="J184" s="62">
        <f t="shared" si="67"/>
        <v>54.699787636730782</v>
      </c>
      <c r="K184" s="62">
        <f t="shared" si="67"/>
        <v>54.699787636730782</v>
      </c>
      <c r="L184" s="62">
        <f t="shared" si="67"/>
        <v>54.699787636730782</v>
      </c>
      <c r="M184" s="62">
        <f t="shared" si="67"/>
        <v>54.699787636730782</v>
      </c>
      <c r="N184" s="62">
        <f t="shared" si="67"/>
        <v>54.699787636730782</v>
      </c>
      <c r="O184" s="62">
        <f t="shared" si="67"/>
        <v>54.699787636730782</v>
      </c>
      <c r="P184" s="62">
        <f t="shared" si="69"/>
        <v>656.39745164076942</v>
      </c>
      <c r="Q184" s="62"/>
      <c r="R184" s="91" t="s">
        <v>98</v>
      </c>
    </row>
    <row r="185" spans="3:20" x14ac:dyDescent="0.3">
      <c r="C185" s="90" t="s">
        <v>209</v>
      </c>
      <c r="D185" s="62">
        <f>([7]Sheet3!$J$14+[7]Sheet3!$K$14)/1000000+('[9]Budget Benefit per cost center'!$C$32/1000000)</f>
        <v>18.441920833333334</v>
      </c>
      <c r="E185" s="62">
        <f t="shared" si="67"/>
        <v>18.441920833333334</v>
      </c>
      <c r="F185" s="62">
        <f t="shared" si="67"/>
        <v>18.441920833333334</v>
      </c>
      <c r="G185" s="62">
        <f t="shared" si="67"/>
        <v>18.441920833333334</v>
      </c>
      <c r="H185" s="62">
        <f t="shared" si="67"/>
        <v>18.441920833333334</v>
      </c>
      <c r="I185" s="62">
        <f t="shared" si="67"/>
        <v>18.441920833333334</v>
      </c>
      <c r="J185" s="62">
        <f t="shared" si="67"/>
        <v>18.441920833333334</v>
      </c>
      <c r="K185" s="62">
        <f t="shared" si="67"/>
        <v>18.441920833333334</v>
      </c>
      <c r="L185" s="62">
        <f t="shared" si="67"/>
        <v>18.441920833333334</v>
      </c>
      <c r="M185" s="62">
        <f t="shared" si="67"/>
        <v>18.441920833333334</v>
      </c>
      <c r="N185" s="62">
        <f t="shared" si="67"/>
        <v>18.441920833333334</v>
      </c>
      <c r="O185" s="62">
        <f t="shared" si="67"/>
        <v>18.441920833333334</v>
      </c>
      <c r="P185" s="62">
        <f t="shared" si="69"/>
        <v>221.30305000000007</v>
      </c>
      <c r="Q185" s="62"/>
      <c r="R185" s="91" t="s">
        <v>98</v>
      </c>
    </row>
    <row r="186" spans="3:20" x14ac:dyDescent="0.3">
      <c r="C186" s="90" t="s">
        <v>210</v>
      </c>
      <c r="D186" s="62">
        <f>'[10]GA EXPENSE'!D15/1000</f>
        <v>1.548</v>
      </c>
      <c r="E186" s="62">
        <f>'[10]GA EXPENSE'!E15/1000</f>
        <v>0.5</v>
      </c>
      <c r="F186" s="62">
        <f>'[10]GA EXPENSE'!F15/1000</f>
        <v>8</v>
      </c>
      <c r="G186" s="62">
        <f>'[10]GA EXPENSE'!G15/1000</f>
        <v>1.548</v>
      </c>
      <c r="H186" s="62">
        <f>'[10]GA EXPENSE'!H15/1000</f>
        <v>46.312410983783799</v>
      </c>
      <c r="I186" s="62">
        <f>'[10]GA EXPENSE'!I15/1000</f>
        <v>2.5</v>
      </c>
      <c r="J186" s="62">
        <f>'[10]GA EXPENSE'!J15/1000</f>
        <v>30.103715000000001</v>
      </c>
      <c r="K186" s="62">
        <f>'[10]GA EXPENSE'!K15/1000</f>
        <v>12</v>
      </c>
      <c r="L186" s="62">
        <f>'[10]GA EXPENSE'!L15/1000</f>
        <v>1.548</v>
      </c>
      <c r="M186" s="62">
        <f>'[10]GA EXPENSE'!M15/1000</f>
        <v>5.5</v>
      </c>
      <c r="N186" s="62">
        <f>'[10]GA EXPENSE'!N15/1000</f>
        <v>3</v>
      </c>
      <c r="O186" s="62">
        <f>'[10]GA EXPENSE'!O15/1000</f>
        <v>9.548</v>
      </c>
      <c r="P186" s="62">
        <f t="shared" si="69"/>
        <v>122.10812598378379</v>
      </c>
      <c r="Q186" s="62">
        <f>'[6]PL COnly'!$AB$132*12/8</f>
        <v>366.68137456567382</v>
      </c>
      <c r="R186" s="91">
        <f t="shared" si="68"/>
        <v>-0.66699119602565515</v>
      </c>
    </row>
    <row r="187" spans="3:20" x14ac:dyDescent="0.3">
      <c r="C187" s="90" t="s">
        <v>211</v>
      </c>
      <c r="D187" s="62">
        <f>'[10]GA EXPENSE'!D16/1000</f>
        <v>22.4</v>
      </c>
      <c r="E187" s="62">
        <f>'[10]GA EXPENSE'!E16/1000</f>
        <v>10.55</v>
      </c>
      <c r="F187" s="62">
        <f>'[10]GA EXPENSE'!F16/1000</f>
        <v>8.0500000000000007</v>
      </c>
      <c r="G187" s="62">
        <f>'[10]GA EXPENSE'!G16/1000</f>
        <v>10.39</v>
      </c>
      <c r="H187" s="62">
        <f>'[10]GA EXPENSE'!H16/1000</f>
        <v>5.95</v>
      </c>
      <c r="I187" s="62">
        <f>'[10]GA EXPENSE'!I16/1000</f>
        <v>10.18</v>
      </c>
      <c r="J187" s="62">
        <f>'[10]GA EXPENSE'!J16/1000</f>
        <v>6.673</v>
      </c>
      <c r="K187" s="62">
        <f>'[10]GA EXPENSE'!K16/1000</f>
        <v>2.2999999999999998</v>
      </c>
      <c r="L187" s="62">
        <f>'[10]GA EXPENSE'!L16/1000</f>
        <v>4.2480000000000002</v>
      </c>
      <c r="M187" s="62">
        <f>'[10]GA EXPENSE'!M16/1000</f>
        <v>25.03</v>
      </c>
      <c r="N187" s="62">
        <f>'[10]GA EXPENSE'!N16/1000</f>
        <v>7.85</v>
      </c>
      <c r="O187" s="62">
        <f>'[10]GA EXPENSE'!O16/1000</f>
        <v>9.0500000000000007</v>
      </c>
      <c r="P187" s="62">
        <f t="shared" si="69"/>
        <v>122.67100000000001</v>
      </c>
      <c r="Q187" s="62"/>
      <c r="R187" s="91" t="s">
        <v>98</v>
      </c>
    </row>
    <row r="188" spans="3:20" x14ac:dyDescent="0.3">
      <c r="C188" s="90" t="s">
        <v>212</v>
      </c>
      <c r="D188" s="62">
        <f>'[10]GA EXPENSE'!D17/1000</f>
        <v>4.8440000000000003</v>
      </c>
      <c r="E188" s="62">
        <f>'[10]GA EXPENSE'!E17/1000</f>
        <v>7.1440000000000001</v>
      </c>
      <c r="F188" s="62">
        <f>'[10]GA EXPENSE'!F17/1000</f>
        <v>3.6440000000000001</v>
      </c>
      <c r="G188" s="62">
        <f>'[10]GA EXPENSE'!G17/1000</f>
        <v>6.8940000000000001</v>
      </c>
      <c r="H188" s="62">
        <f>'[10]GA EXPENSE'!H17/1000</f>
        <v>4.6440000000000001</v>
      </c>
      <c r="I188" s="62">
        <f>'[10]GA EXPENSE'!I17/1000</f>
        <v>3.6440000000000001</v>
      </c>
      <c r="J188" s="62">
        <f>'[10]GA EXPENSE'!J17/1000</f>
        <v>24.844000000000001</v>
      </c>
      <c r="K188" s="62">
        <f>'[10]GA EXPENSE'!K17/1000</f>
        <v>3.6440000000000001</v>
      </c>
      <c r="L188" s="62">
        <f>'[10]GA EXPENSE'!L17/1000</f>
        <v>11.843999999999999</v>
      </c>
      <c r="M188" s="62">
        <f>'[10]GA EXPENSE'!M17/1000</f>
        <v>3.8439999999999999</v>
      </c>
      <c r="N188" s="62">
        <f>'[10]GA EXPENSE'!N17/1000</f>
        <v>3.6440000000000001</v>
      </c>
      <c r="O188" s="62">
        <f>'[10]GA EXPENSE'!O17/1000</f>
        <v>3.6440000000000001</v>
      </c>
      <c r="P188" s="62">
        <f t="shared" si="69"/>
        <v>82.278000000000006</v>
      </c>
      <c r="Q188" s="62">
        <f>'[6]PL COnly'!$AB$116*12/8</f>
        <v>27.14385</v>
      </c>
      <c r="R188" s="105">
        <f t="shared" si="68"/>
        <v>2.0311838593272511</v>
      </c>
    </row>
    <row r="189" spans="3:20" x14ac:dyDescent="0.3">
      <c r="C189" s="90" t="s">
        <v>213</v>
      </c>
      <c r="D189" s="62">
        <f>'[10]GA EXPENSE'!D18/1000</f>
        <v>24.6</v>
      </c>
      <c r="E189" s="62">
        <f>'[10]GA EXPENSE'!E18/1000</f>
        <v>9.6</v>
      </c>
      <c r="F189" s="62">
        <f>'[10]GA EXPENSE'!F18/1000</f>
        <v>7.6</v>
      </c>
      <c r="G189" s="62">
        <f>'[10]GA EXPENSE'!G18/1000</f>
        <v>9.6</v>
      </c>
      <c r="H189" s="62">
        <f>'[10]GA EXPENSE'!H18/1000</f>
        <v>4.5999999999999996</v>
      </c>
      <c r="I189" s="62">
        <f>'[10]GA EXPENSE'!I18/1000</f>
        <v>16.600000000000001</v>
      </c>
      <c r="J189" s="62">
        <f>'[10]GA EXPENSE'!J18/1000</f>
        <v>7.6</v>
      </c>
      <c r="K189" s="62">
        <f>'[10]GA EXPENSE'!K18/1000</f>
        <v>9.6</v>
      </c>
      <c r="L189" s="62">
        <f>'[10]GA EXPENSE'!L18/1000</f>
        <v>5.6</v>
      </c>
      <c r="M189" s="62">
        <f>'[10]GA EXPENSE'!M18/1000</f>
        <v>6.6</v>
      </c>
      <c r="N189" s="62">
        <f>'[10]GA EXPENSE'!N18/1000</f>
        <v>7.6</v>
      </c>
      <c r="O189" s="62">
        <f>'[10]GA EXPENSE'!O18/1000</f>
        <v>45.6</v>
      </c>
      <c r="P189" s="62">
        <f t="shared" si="69"/>
        <v>155.19999999999999</v>
      </c>
      <c r="Q189" s="62">
        <f>'[6]PL COnly'!$AB$121*12/8</f>
        <v>151.88078999999999</v>
      </c>
      <c r="R189" s="91">
        <f t="shared" si="68"/>
        <v>2.1854047506600395E-2</v>
      </c>
    </row>
    <row r="190" spans="3:20" x14ac:dyDescent="0.3">
      <c r="C190" s="90" t="s">
        <v>214</v>
      </c>
      <c r="D190" s="62">
        <f>'[10]GA EXPENSE'!D19/1000</f>
        <v>8.5</v>
      </c>
      <c r="E190" s="62">
        <f>'[10]GA EXPENSE'!E19/1000</f>
        <v>47.96</v>
      </c>
      <c r="F190" s="62">
        <f>'[10]GA EXPENSE'!F19/1000</f>
        <v>12.6</v>
      </c>
      <c r="G190" s="62">
        <f>'[10]GA EXPENSE'!G19/1000</f>
        <v>0.7</v>
      </c>
      <c r="H190" s="62">
        <f>'[10]GA EXPENSE'!H19/1000</f>
        <v>4.95</v>
      </c>
      <c r="I190" s="62">
        <f>'[10]GA EXPENSE'!I19/1000</f>
        <v>13.85</v>
      </c>
      <c r="J190" s="62">
        <f>'[10]GA EXPENSE'!J19/1000</f>
        <v>12.85</v>
      </c>
      <c r="K190" s="62">
        <f>'[10]GA EXPENSE'!K19/1000</f>
        <v>0.2</v>
      </c>
      <c r="L190" s="62">
        <f>'[10]GA EXPENSE'!L19/1000</f>
        <v>4.2</v>
      </c>
      <c r="M190" s="62">
        <f>'[10]GA EXPENSE'!M19/1000</f>
        <v>0.7</v>
      </c>
      <c r="N190" s="62">
        <f>'[10]GA EXPENSE'!N19/1000</f>
        <v>0.2</v>
      </c>
      <c r="O190" s="62">
        <f>'[10]GA EXPENSE'!O19/1000</f>
        <v>0.7</v>
      </c>
      <c r="P190" s="62">
        <f t="shared" si="69"/>
        <v>107.41000000000001</v>
      </c>
      <c r="Q190" s="62">
        <f>'[6]PL COnly'!$AB$129*12/8</f>
        <v>349.20177364285718</v>
      </c>
      <c r="R190" s="91">
        <f t="shared" si="68"/>
        <v>-0.69241278794347538</v>
      </c>
    </row>
    <row r="191" spans="3:20" x14ac:dyDescent="0.3">
      <c r="C191" s="90" t="s">
        <v>215</v>
      </c>
      <c r="D191" s="62">
        <f>'[11]BUDGET 2023'!C18/1000000</f>
        <v>163.54140000000001</v>
      </c>
      <c r="E191" s="62">
        <f>'[11]BUDGET 2023'!D18/1000000</f>
        <v>8.8770000000000007</v>
      </c>
      <c r="F191" s="62">
        <f>'[11]BUDGET 2023'!E18/1000000</f>
        <v>4.6184000000000003</v>
      </c>
      <c r="G191" s="62">
        <f>'[11]BUDGET 2023'!F18/1000000</f>
        <v>16.754999999999999</v>
      </c>
      <c r="H191" s="62">
        <f>'[11]BUDGET 2023'!G18/1000000</f>
        <v>112.773</v>
      </c>
      <c r="I191" s="62">
        <f>'[11]BUDGET 2023'!H18/1000000</f>
        <v>30.015000000000001</v>
      </c>
      <c r="J191" s="62">
        <f>'[11]BUDGET 2023'!I18/1000000</f>
        <v>16.896999999999998</v>
      </c>
      <c r="K191" s="62">
        <f>'[11]BUDGET 2023'!J18/1000000</f>
        <v>8.8770000000000007</v>
      </c>
      <c r="L191" s="62">
        <f>'[11]BUDGET 2023'!K18/1000000</f>
        <v>1.155</v>
      </c>
      <c r="M191" s="62">
        <f>'[11]BUDGET 2023'!L18/1000000</f>
        <v>168.54300000000001</v>
      </c>
      <c r="N191" s="62">
        <f>'[11]BUDGET 2023'!M18/1000000</f>
        <v>8.8770000000000007</v>
      </c>
      <c r="O191" s="62">
        <f>'[11]BUDGET 2023'!N18/1000000</f>
        <v>1.155</v>
      </c>
      <c r="P191" s="62">
        <f t="shared" si="69"/>
        <v>542.08379999999988</v>
      </c>
      <c r="Q191" s="62"/>
      <c r="R191" s="91" t="s">
        <v>98</v>
      </c>
    </row>
    <row r="192" spans="3:20" x14ac:dyDescent="0.3">
      <c r="C192" s="90" t="s">
        <v>216</v>
      </c>
      <c r="D192" s="62">
        <f>'[10]GA EXPENSE'!D21/1000</f>
        <v>23.77</v>
      </c>
      <c r="E192" s="62">
        <f>'[10]GA EXPENSE'!E21/1000</f>
        <v>4.2750000000000004</v>
      </c>
      <c r="F192" s="62">
        <f>'[10]GA EXPENSE'!F21/1000</f>
        <v>5.88</v>
      </c>
      <c r="G192" s="62">
        <f>'[10]GA EXPENSE'!G21/1000</f>
        <v>1.27</v>
      </c>
      <c r="H192" s="62">
        <f>'[10]GA EXPENSE'!H21/1000</f>
        <v>8.27</v>
      </c>
      <c r="I192" s="62">
        <f>'[10]GA EXPENSE'!I21/1000</f>
        <v>1.27</v>
      </c>
      <c r="J192" s="62">
        <f>'[10]GA EXPENSE'!J21/1000</f>
        <v>2.77</v>
      </c>
      <c r="K192" s="62">
        <f>'[10]GA EXPENSE'!K21/1000</f>
        <v>1.27</v>
      </c>
      <c r="L192" s="62">
        <f>'[10]GA EXPENSE'!L21/1000</f>
        <v>2.27</v>
      </c>
      <c r="M192" s="62">
        <f>'[10]GA EXPENSE'!M21/1000</f>
        <v>1.27</v>
      </c>
      <c r="N192" s="62">
        <f>'[10]GA EXPENSE'!N21/1000</f>
        <v>2.27</v>
      </c>
      <c r="O192" s="62">
        <f>'[10]GA EXPENSE'!O21/1000</f>
        <v>1.27</v>
      </c>
      <c r="P192" s="62">
        <f t="shared" si="69"/>
        <v>55.855000000000025</v>
      </c>
      <c r="Q192" s="62"/>
      <c r="R192" s="91" t="s">
        <v>98</v>
      </c>
    </row>
    <row r="193" spans="3:20" x14ac:dyDescent="0.3">
      <c r="C193" s="90" t="s">
        <v>217</v>
      </c>
      <c r="D193" s="62">
        <f>'[10]GA EXPENSE'!D22/1000</f>
        <v>89.526719999999997</v>
      </c>
      <c r="E193" s="62">
        <f>'[10]GA EXPENSE'!E22/1000</f>
        <v>85.187719999999999</v>
      </c>
      <c r="F193" s="62">
        <f>'[10]GA EXPENSE'!F22/1000</f>
        <v>81.496719999999996</v>
      </c>
      <c r="G193" s="62">
        <f>'[10]GA EXPENSE'!G22/1000</f>
        <v>84.566720000000004</v>
      </c>
      <c r="H193" s="62">
        <f>'[10]GA EXPENSE'!H22/1000</f>
        <v>89.206720000000004</v>
      </c>
      <c r="I193" s="62">
        <f>'[10]GA EXPENSE'!I22/1000</f>
        <v>82.806719999999999</v>
      </c>
      <c r="J193" s="62">
        <f>'[10]GA EXPENSE'!J22/1000</f>
        <v>84.946719999999999</v>
      </c>
      <c r="K193" s="62">
        <f>'[10]GA EXPENSE'!K22/1000</f>
        <v>80.047719999999998</v>
      </c>
      <c r="L193" s="62">
        <f>'[10]GA EXPENSE'!L22/1000</f>
        <v>84.066720000000004</v>
      </c>
      <c r="M193" s="62">
        <f>'[10]GA EXPENSE'!M22/1000</f>
        <v>84.446719999999999</v>
      </c>
      <c r="N193" s="62">
        <f>'[10]GA EXPENSE'!N22/1000</f>
        <v>109.95672</v>
      </c>
      <c r="O193" s="62">
        <f>'[10]GA EXPENSE'!O22/1000</f>
        <v>80.216719999999995</v>
      </c>
      <c r="P193" s="62">
        <f t="shared" si="69"/>
        <v>1036.4726400000002</v>
      </c>
      <c r="Q193" s="62">
        <f>'[6]PL COnly'!$AB$110*12/8-570</f>
        <v>4142.7577917368544</v>
      </c>
      <c r="R193" s="91">
        <f t="shared" si="68"/>
        <v>-0.74981094910560586</v>
      </c>
      <c r="S193" s="17">
        <f>Q193-P193</f>
        <v>3106.2851517368545</v>
      </c>
    </row>
    <row r="194" spans="3:20" x14ac:dyDescent="0.3">
      <c r="C194" s="90" t="s">
        <v>218</v>
      </c>
      <c r="D194" s="62">
        <f>'[10]GA EXPENSE'!D23/1000</f>
        <v>30.069375000000001</v>
      </c>
      <c r="E194" s="62">
        <f>'[10]GA EXPENSE'!E23/1000</f>
        <v>23.429375</v>
      </c>
      <c r="F194" s="62">
        <f>'[10]GA EXPENSE'!F23/1000</f>
        <v>21.429375</v>
      </c>
      <c r="G194" s="62">
        <f>'[10]GA EXPENSE'!G23/1000</f>
        <v>30.069375000000001</v>
      </c>
      <c r="H194" s="62">
        <f>'[10]GA EXPENSE'!H23/1000</f>
        <v>21.429375</v>
      </c>
      <c r="I194" s="62">
        <f>'[10]GA EXPENSE'!I23/1000</f>
        <v>17.069375000000001</v>
      </c>
      <c r="J194" s="62">
        <f>'[10]GA EXPENSE'!J23/1000</f>
        <v>18.429375</v>
      </c>
      <c r="K194" s="62">
        <f>'[10]GA EXPENSE'!K23/1000</f>
        <v>23.429375</v>
      </c>
      <c r="L194" s="62">
        <f>'[10]GA EXPENSE'!L23/1000</f>
        <v>21.429375</v>
      </c>
      <c r="M194" s="62">
        <f>'[10]GA EXPENSE'!M23/1000</f>
        <v>21.429375</v>
      </c>
      <c r="N194" s="62">
        <f>'[10]GA EXPENSE'!N23/1000</f>
        <v>23.429375</v>
      </c>
      <c r="O194" s="62">
        <f>'[10]GA EXPENSE'!O23/1000</f>
        <v>21.429375</v>
      </c>
      <c r="P194" s="62">
        <f t="shared" si="69"/>
        <v>273.07249999999999</v>
      </c>
      <c r="Q194" s="62">
        <f>('[6]PL COnly'!$AB$111+'[6]PL COnly'!$AB$115+'[6]PL COnly'!$AB$112+'[6]PL COnly'!$AB$113)*12/8</f>
        <v>180.28644766500503</v>
      </c>
      <c r="R194" s="105">
        <f t="shared" si="68"/>
        <v>0.51465905250628241</v>
      </c>
    </row>
    <row r="195" spans="3:20" x14ac:dyDescent="0.3">
      <c r="C195" s="90" t="s">
        <v>219</v>
      </c>
      <c r="D195" s="62">
        <f>([12]Sheet1!J50+[12]Sheet1!J56)/1000</f>
        <v>0</v>
      </c>
      <c r="E195" s="62">
        <f>([12]Sheet1!K50+[12]Sheet1!K56)/1000</f>
        <v>0</v>
      </c>
      <c r="F195" s="62">
        <f>([12]Sheet1!L50+[12]Sheet1!L56)/1000</f>
        <v>0</v>
      </c>
      <c r="G195" s="62">
        <f>([12]Sheet1!M50+[12]Sheet1!M56)/1000</f>
        <v>0</v>
      </c>
      <c r="H195" s="62">
        <f>([12]Sheet1!N50+[12]Sheet1!N56)/1000</f>
        <v>0</v>
      </c>
      <c r="I195" s="62">
        <f>([12]Sheet1!O50+[12]Sheet1!O56)/1000</f>
        <v>0</v>
      </c>
      <c r="J195" s="62">
        <f>([12]Sheet1!P50+[12]Sheet1!P56)/1000</f>
        <v>0</v>
      </c>
      <c r="K195" s="62">
        <f>([12]Sheet1!Q50+[12]Sheet1!Q56)/1000</f>
        <v>0</v>
      </c>
      <c r="L195" s="62">
        <f>([12]Sheet1!R50+[12]Sheet1!R56)/1000</f>
        <v>0</v>
      </c>
      <c r="M195" s="62">
        <f>([12]Sheet1!S50+[12]Sheet1!S56)/1000</f>
        <v>0</v>
      </c>
      <c r="N195" s="62">
        <f>([12]Sheet1!T50+[12]Sheet1!T56)/1000</f>
        <v>0</v>
      </c>
      <c r="O195" s="62">
        <f>([12]Sheet1!U50+[12]Sheet1!U56)/1000</f>
        <v>0</v>
      </c>
      <c r="P195" s="62">
        <f t="shared" si="69"/>
        <v>0</v>
      </c>
      <c r="Q195" s="62">
        <f>'[6]PL COnly'!$AB$117*12/8</f>
        <v>194.25706240499997</v>
      </c>
      <c r="R195" s="105">
        <f t="shared" si="68"/>
        <v>-1</v>
      </c>
      <c r="S195" s="17">
        <f>P195-Q195</f>
        <v>-194.25706240499997</v>
      </c>
      <c r="T195" s="20"/>
    </row>
    <row r="196" spans="3:20" x14ac:dyDescent="0.3">
      <c r="C196" s="90" t="s">
        <v>220</v>
      </c>
      <c r="D196" s="62">
        <f>[11]Sheet1!$E$15</f>
        <v>32.927083333333329</v>
      </c>
      <c r="E196" s="62">
        <f>D196</f>
        <v>32.927083333333329</v>
      </c>
      <c r="F196" s="62">
        <f t="shared" ref="F196:O196" si="70">E196</f>
        <v>32.927083333333329</v>
      </c>
      <c r="G196" s="62">
        <f t="shared" si="70"/>
        <v>32.927083333333329</v>
      </c>
      <c r="H196" s="62">
        <f t="shared" si="70"/>
        <v>32.927083333333329</v>
      </c>
      <c r="I196" s="62">
        <f t="shared" si="70"/>
        <v>32.927083333333329</v>
      </c>
      <c r="J196" s="62">
        <f t="shared" si="70"/>
        <v>32.927083333333329</v>
      </c>
      <c r="K196" s="62">
        <f t="shared" si="70"/>
        <v>32.927083333333329</v>
      </c>
      <c r="L196" s="62">
        <f t="shared" si="70"/>
        <v>32.927083333333329</v>
      </c>
      <c r="M196" s="62">
        <f t="shared" si="70"/>
        <v>32.927083333333329</v>
      </c>
      <c r="N196" s="62">
        <f t="shared" si="70"/>
        <v>32.927083333333329</v>
      </c>
      <c r="O196" s="62">
        <f t="shared" si="70"/>
        <v>32.927083333333329</v>
      </c>
      <c r="P196" s="62">
        <f t="shared" si="69"/>
        <v>395.12499999999983</v>
      </c>
      <c r="Q196" s="62">
        <f>'[6]PL COnly'!$AB$118*12/8</f>
        <v>15.010188000000001</v>
      </c>
      <c r="R196" s="105">
        <f t="shared" si="68"/>
        <v>25.323787550162582</v>
      </c>
      <c r="S196" s="17" t="s">
        <v>221</v>
      </c>
    </row>
    <row r="197" spans="3:20" x14ac:dyDescent="0.3">
      <c r="C197" s="90" t="s">
        <v>222</v>
      </c>
      <c r="D197" s="62">
        <f>'[10]GA EXPENSE'!D26/1000</f>
        <v>13.6503675</v>
      </c>
      <c r="E197" s="62">
        <f>'[10]GA EXPENSE'!E26/1000</f>
        <v>253.65036749999999</v>
      </c>
      <c r="F197" s="62">
        <f>'[10]GA EXPENSE'!F26/1000</f>
        <v>108.65036749999999</v>
      </c>
      <c r="G197" s="62">
        <f>'[10]GA EXPENSE'!G26/1000</f>
        <v>13.6503675</v>
      </c>
      <c r="H197" s="62">
        <f>'[10]GA EXPENSE'!H26/1000</f>
        <v>13.6503675</v>
      </c>
      <c r="I197" s="62">
        <f>'[10]GA EXPENSE'!I26/1000</f>
        <v>13.6503675</v>
      </c>
      <c r="J197" s="62">
        <f>'[10]GA EXPENSE'!J26/1000</f>
        <v>13.6503675</v>
      </c>
      <c r="K197" s="62">
        <f>'[10]GA EXPENSE'!K26/1000</f>
        <v>13.6503675</v>
      </c>
      <c r="L197" s="62">
        <f>'[10]GA EXPENSE'!L26/1000</f>
        <v>13.6503675</v>
      </c>
      <c r="M197" s="62">
        <f>'[10]GA EXPENSE'!M26/1000</f>
        <v>13.6503675</v>
      </c>
      <c r="N197" s="62">
        <f>'[10]GA EXPENSE'!N26/1000</f>
        <v>13.6503675</v>
      </c>
      <c r="O197" s="62">
        <f>'[10]GA EXPENSE'!O26/1000</f>
        <v>13.6503675</v>
      </c>
      <c r="P197" s="62">
        <f t="shared" si="69"/>
        <v>498.80441000000008</v>
      </c>
      <c r="Q197" s="62"/>
      <c r="R197" s="91" t="s">
        <v>98</v>
      </c>
    </row>
    <row r="198" spans="3:20" x14ac:dyDescent="0.3">
      <c r="C198" s="90" t="s">
        <v>223</v>
      </c>
      <c r="D198" s="62">
        <f>'[10]GA EXPENSE'!D27/1000</f>
        <v>6.3492700000000006</v>
      </c>
      <c r="E198" s="62">
        <f>'[10]GA EXPENSE'!E27/1000</f>
        <v>6.3492700000000006</v>
      </c>
      <c r="F198" s="62">
        <f>'[10]GA EXPENSE'!F27/1000</f>
        <v>6.3492700000000006</v>
      </c>
      <c r="G198" s="62">
        <f>'[10]GA EXPENSE'!G27/1000</f>
        <v>6.3492700000000006</v>
      </c>
      <c r="H198" s="62">
        <f>'[10]GA EXPENSE'!H27/1000</f>
        <v>6.3492700000000006</v>
      </c>
      <c r="I198" s="62">
        <f>'[10]GA EXPENSE'!I27/1000</f>
        <v>6.3492700000000006</v>
      </c>
      <c r="J198" s="62">
        <f>'[10]GA EXPENSE'!J27/1000</f>
        <v>6.3492700000000006</v>
      </c>
      <c r="K198" s="62">
        <f>'[10]GA EXPENSE'!K27/1000</f>
        <v>6.3492700000000006</v>
      </c>
      <c r="L198" s="62">
        <f>'[10]GA EXPENSE'!L27/1000</f>
        <v>6.3492700000000006</v>
      </c>
      <c r="M198" s="62">
        <f>'[10]GA EXPENSE'!M27/1000</f>
        <v>6.3492700000000006</v>
      </c>
      <c r="N198" s="62">
        <f>'[10]GA EXPENSE'!N27/1000</f>
        <v>6.3492700000000006</v>
      </c>
      <c r="O198" s="62">
        <f>'[10]GA EXPENSE'!O27/1000</f>
        <v>6.3492700000000006</v>
      </c>
      <c r="P198" s="62">
        <f t="shared" si="69"/>
        <v>76.191240000000022</v>
      </c>
      <c r="Q198" s="62">
        <f>'[6]PL COnly'!$AB$114*12/8</f>
        <v>81.998212274999986</v>
      </c>
      <c r="R198" s="91">
        <f t="shared" si="68"/>
        <v>-7.0818279007412235E-2</v>
      </c>
    </row>
    <row r="199" spans="3:20" x14ac:dyDescent="0.3">
      <c r="C199" s="90" t="s">
        <v>224</v>
      </c>
      <c r="D199" s="62">
        <f>'[10]GA EXPENSE'!D28/1000</f>
        <v>12.0039</v>
      </c>
      <c r="E199" s="62">
        <f>'[10]GA EXPENSE'!E28/1000</f>
        <v>12.5039</v>
      </c>
      <c r="F199" s="62">
        <f>'[10]GA EXPENSE'!F28/1000</f>
        <v>50.003900000000002</v>
      </c>
      <c r="G199" s="62">
        <f>'[10]GA EXPENSE'!G28/1000</f>
        <v>17.001950000000001</v>
      </c>
      <c r="H199" s="62">
        <f>'[10]GA EXPENSE'!H28/1000</f>
        <v>10.0039</v>
      </c>
      <c r="I199" s="62">
        <f>'[10]GA EXPENSE'!I28/1000</f>
        <v>15.0039</v>
      </c>
      <c r="J199" s="62">
        <f>'[10]GA EXPENSE'!J28/1000</f>
        <v>11.0039</v>
      </c>
      <c r="K199" s="62">
        <f>'[10]GA EXPENSE'!K28/1000</f>
        <v>10.5039</v>
      </c>
      <c r="L199" s="62">
        <f>'[10]GA EXPENSE'!L28/1000</f>
        <v>35.003900000000002</v>
      </c>
      <c r="M199" s="62">
        <f>'[10]GA EXPENSE'!M28/1000</f>
        <v>10.0039</v>
      </c>
      <c r="N199" s="62">
        <f>'[10]GA EXPENSE'!N28/1000</f>
        <v>40.003900000000002</v>
      </c>
      <c r="O199" s="62">
        <f>'[10]GA EXPENSE'!O28/1000</f>
        <v>8.0038999999999998</v>
      </c>
      <c r="P199" s="62">
        <f t="shared" si="69"/>
        <v>231.04485</v>
      </c>
      <c r="Q199" s="62">
        <f>'[6]PL COnly'!$AB$123*12/8</f>
        <v>685.46968534500002</v>
      </c>
      <c r="R199" s="91">
        <f t="shared" si="68"/>
        <v>-0.6629393612297908</v>
      </c>
    </row>
    <row r="200" spans="3:20" x14ac:dyDescent="0.3">
      <c r="C200" s="90" t="s">
        <v>225</v>
      </c>
      <c r="D200" s="62">
        <f>'[10]GA EXPENSE'!D29/1000</f>
        <v>58.46</v>
      </c>
      <c r="E200" s="62">
        <f>'[10]GA EXPENSE'!E29/1000</f>
        <v>58.46</v>
      </c>
      <c r="F200" s="62">
        <f>'[10]GA EXPENSE'!F29/1000</f>
        <v>58.46</v>
      </c>
      <c r="G200" s="62">
        <f>'[10]GA EXPENSE'!G29/1000</f>
        <v>58.46</v>
      </c>
      <c r="H200" s="62">
        <f>'[10]GA EXPENSE'!H29/1000</f>
        <v>58.46</v>
      </c>
      <c r="I200" s="62">
        <f>'[10]GA EXPENSE'!I29/1000</f>
        <v>58.46</v>
      </c>
      <c r="J200" s="62">
        <f>'[10]GA EXPENSE'!J29/1000</f>
        <v>58.46</v>
      </c>
      <c r="K200" s="62">
        <f>'[10]GA EXPENSE'!K29/1000</f>
        <v>58.46</v>
      </c>
      <c r="L200" s="62">
        <f>'[10]GA EXPENSE'!L29/1000</f>
        <v>58.46</v>
      </c>
      <c r="M200" s="62">
        <f>'[10]GA EXPENSE'!M29/1000</f>
        <v>58.46</v>
      </c>
      <c r="N200" s="62">
        <f>'[10]GA EXPENSE'!N29/1000</f>
        <v>58.46</v>
      </c>
      <c r="O200" s="62">
        <f>'[10]GA EXPENSE'!O29/1000</f>
        <v>58.46</v>
      </c>
      <c r="P200" s="62">
        <f t="shared" si="69"/>
        <v>701.5200000000001</v>
      </c>
      <c r="Q200" s="62">
        <f>'[6]PL COnly'!$AB$124*12/8</f>
        <v>434.69006734500005</v>
      </c>
      <c r="R200" s="91">
        <f t="shared" si="68"/>
        <v>0.61383949783979164</v>
      </c>
    </row>
    <row r="201" spans="3:20" x14ac:dyDescent="0.3">
      <c r="C201" s="90" t="s">
        <v>226</v>
      </c>
      <c r="D201" s="62">
        <f>'[10]GA EXPENSE'!D30/1000</f>
        <v>142.507586</v>
      </c>
      <c r="E201" s="62">
        <f>'[10]GA EXPENSE'!E30/1000</f>
        <v>137.507586</v>
      </c>
      <c r="F201" s="62">
        <f>'[10]GA EXPENSE'!F30/1000</f>
        <v>87.507585999999989</v>
      </c>
      <c r="G201" s="62">
        <f>'[10]GA EXPENSE'!G30/1000</f>
        <v>222.507586</v>
      </c>
      <c r="H201" s="62">
        <f>'[10]GA EXPENSE'!H30/1000</f>
        <v>132.507586</v>
      </c>
      <c r="I201" s="62">
        <f>'[10]GA EXPENSE'!I30/1000</f>
        <v>94.507585999999989</v>
      </c>
      <c r="J201" s="62">
        <f>'[10]GA EXPENSE'!J30/1000</f>
        <v>155.507586</v>
      </c>
      <c r="K201" s="62">
        <f>'[10]GA EXPENSE'!K30/1000</f>
        <v>82.507585999999989</v>
      </c>
      <c r="L201" s="62">
        <f>'[10]GA EXPENSE'!L30/1000</f>
        <v>132.507586</v>
      </c>
      <c r="M201" s="62">
        <f>'[10]GA EXPENSE'!M30/1000</f>
        <v>172.507586</v>
      </c>
      <c r="N201" s="62">
        <f>'[10]GA EXPENSE'!N30/1000</f>
        <v>97.507585999999989</v>
      </c>
      <c r="O201" s="62">
        <f>'[10]GA EXPENSE'!O30/1000</f>
        <v>117.50758599999999</v>
      </c>
      <c r="P201" s="62">
        <f t="shared" si="69"/>
        <v>1575.0910319999996</v>
      </c>
      <c r="Q201" s="62">
        <f>'[6]PL COnly'!$AB$119*12/8</f>
        <v>315.8547585</v>
      </c>
      <c r="R201" s="105">
        <f t="shared" si="68"/>
        <v>3.9867573294768004</v>
      </c>
      <c r="S201" s="17" t="s">
        <v>227</v>
      </c>
    </row>
    <row r="202" spans="3:20" x14ac:dyDescent="0.3">
      <c r="C202" s="90" t="s">
        <v>228</v>
      </c>
      <c r="D202" s="62">
        <f>'[10]GA EXPENSE'!D31/1000</f>
        <v>33.633333333333326</v>
      </c>
      <c r="E202" s="62">
        <f>'[10]GA EXPENSE'!E31/1000</f>
        <v>94.633333333333326</v>
      </c>
      <c r="F202" s="62">
        <f>'[10]GA EXPENSE'!F31/1000</f>
        <v>72.353333333333325</v>
      </c>
      <c r="G202" s="62">
        <f>'[10]GA EXPENSE'!G31/1000</f>
        <v>38.833333333333329</v>
      </c>
      <c r="H202" s="62">
        <f>'[10]GA EXPENSE'!H31/1000</f>
        <v>93.633333333333326</v>
      </c>
      <c r="I202" s="62">
        <f>'[10]GA EXPENSE'!I31/1000</f>
        <v>71.633333333333326</v>
      </c>
      <c r="J202" s="62">
        <f>'[10]GA EXPENSE'!J31/1000</f>
        <v>36.75333333333333</v>
      </c>
      <c r="K202" s="62">
        <f>'[10]GA EXPENSE'!K31/1000</f>
        <v>63.853333333333332</v>
      </c>
      <c r="L202" s="62">
        <f>'[10]GA EXPENSE'!L31/1000</f>
        <v>57.258333333333326</v>
      </c>
      <c r="M202" s="62">
        <f>'[10]GA EXPENSE'!M31/1000</f>
        <v>177.7833333333333</v>
      </c>
      <c r="N202" s="62">
        <f>'[10]GA EXPENSE'!N31/1000</f>
        <v>33.633333333333326</v>
      </c>
      <c r="O202" s="62">
        <f>'[10]GA EXPENSE'!O31/1000</f>
        <v>38.633333333333326</v>
      </c>
      <c r="P202" s="62">
        <f t="shared" si="69"/>
        <v>812.63499999999999</v>
      </c>
      <c r="Q202" s="62">
        <f>'[6]PL COnly'!$AB$120*12/8</f>
        <v>44.103000000000002</v>
      </c>
      <c r="R202" s="105">
        <f t="shared" si="68"/>
        <v>17.425844046890234</v>
      </c>
    </row>
    <row r="203" spans="3:20" x14ac:dyDescent="0.3">
      <c r="C203" s="90" t="s">
        <v>229</v>
      </c>
      <c r="D203" s="62">
        <f>'[13]Budget Depre'!E57/1000000</f>
        <v>86.704559000000003</v>
      </c>
      <c r="E203" s="62">
        <f>'[13]Budget Depre'!F57/1000000</f>
        <v>86.704559000000003</v>
      </c>
      <c r="F203" s="62">
        <f>'[13]Budget Depre'!G57/1000000</f>
        <v>86.704559000000003</v>
      </c>
      <c r="G203" s="62">
        <f>'[13]Budget Depre'!H57/1000000</f>
        <v>86.704559000000003</v>
      </c>
      <c r="H203" s="62">
        <f>'[13]Budget Depre'!I57/1000000</f>
        <v>87.704559000000003</v>
      </c>
      <c r="I203" s="62">
        <f>'[13]Budget Depre'!J57/1000000</f>
        <v>87.704559000000003</v>
      </c>
      <c r="J203" s="62">
        <f>'[13]Budget Depre'!K57/1000000</f>
        <v>91.787892333333332</v>
      </c>
      <c r="K203" s="62">
        <f>'[13]Budget Depre'!L57/1000000</f>
        <v>91.787892333333332</v>
      </c>
      <c r="L203" s="62">
        <f>'[13]Budget Depre'!M57/1000000</f>
        <v>91.787892333333332</v>
      </c>
      <c r="M203" s="62">
        <f>'[13]Budget Depre'!N57/1000000</f>
        <v>91.787892333333332</v>
      </c>
      <c r="N203" s="62">
        <f>'[13]Budget Depre'!O57/1000000</f>
        <v>91.787892333333332</v>
      </c>
      <c r="O203" s="62">
        <f>'[13]Budget Depre'!P57/1000000</f>
        <v>91.787892333333332</v>
      </c>
      <c r="P203" s="62">
        <f t="shared" si="69"/>
        <v>1072.9547079999998</v>
      </c>
      <c r="Q203" s="62">
        <f>'[6]PL COnly'!$AB$127*12/8</f>
        <v>1038.0911235036253</v>
      </c>
      <c r="R203" s="91">
        <f t="shared" si="68"/>
        <v>3.3584320014901525E-2</v>
      </c>
    </row>
    <row r="204" spans="3:20" x14ac:dyDescent="0.3">
      <c r="C204" s="90" t="s">
        <v>230</v>
      </c>
      <c r="D204" s="62">
        <f>'[11]Amortisasi '!$B$2/1000000</f>
        <v>14.191487</v>
      </c>
      <c r="E204" s="62">
        <f>D204</f>
        <v>14.191487</v>
      </c>
      <c r="F204" s="62">
        <f t="shared" ref="F204:O204" si="71">E204</f>
        <v>14.191487</v>
      </c>
      <c r="G204" s="62">
        <f t="shared" si="71"/>
        <v>14.191487</v>
      </c>
      <c r="H204" s="62">
        <f t="shared" si="71"/>
        <v>14.191487</v>
      </c>
      <c r="I204" s="62">
        <f t="shared" si="71"/>
        <v>14.191487</v>
      </c>
      <c r="J204" s="62">
        <f t="shared" si="71"/>
        <v>14.191487</v>
      </c>
      <c r="K204" s="62">
        <f t="shared" si="71"/>
        <v>14.191487</v>
      </c>
      <c r="L204" s="62">
        <f t="shared" si="71"/>
        <v>14.191487</v>
      </c>
      <c r="M204" s="62">
        <f t="shared" si="71"/>
        <v>14.191487</v>
      </c>
      <c r="N204" s="62">
        <f t="shared" si="71"/>
        <v>14.191487</v>
      </c>
      <c r="O204" s="62">
        <f t="shared" si="71"/>
        <v>14.191487</v>
      </c>
      <c r="P204" s="62">
        <f t="shared" si="69"/>
        <v>170.29784399999997</v>
      </c>
      <c r="Q204" s="62">
        <f>'[6]PL COnly'!$AB$134*12/8</f>
        <v>170.297848256875</v>
      </c>
      <c r="R204" s="91">
        <f t="shared" si="68"/>
        <v>-2.4996646016511768E-8</v>
      </c>
    </row>
    <row r="205" spans="3:20" x14ac:dyDescent="0.3">
      <c r="C205" s="90" t="s">
        <v>231</v>
      </c>
      <c r="D205" s="62">
        <f>'[10]GA EXPENSE'!D34/1000</f>
        <v>43.625152143333302</v>
      </c>
      <c r="E205" s="62">
        <f>'[10]GA EXPENSE'!E34/1000</f>
        <v>43.625152143333302</v>
      </c>
      <c r="F205" s="62">
        <f>'[10]GA EXPENSE'!F34/1000</f>
        <v>43.625152143333302</v>
      </c>
      <c r="G205" s="62">
        <f>'[10]GA EXPENSE'!G34/1000</f>
        <v>43.625152143333302</v>
      </c>
      <c r="H205" s="62">
        <f>'[10]GA EXPENSE'!H34/1000</f>
        <v>43.625152143333302</v>
      </c>
      <c r="I205" s="62">
        <f>'[10]GA EXPENSE'!I34/1000</f>
        <v>43.625152143333302</v>
      </c>
      <c r="J205" s="62">
        <f>'[10]GA EXPENSE'!J34/1000</f>
        <v>43.625152143333302</v>
      </c>
      <c r="K205" s="62">
        <f>'[10]GA EXPENSE'!K34/1000</f>
        <v>43.625152143333302</v>
      </c>
      <c r="L205" s="62">
        <f>'[10]GA EXPENSE'!L34/1000</f>
        <v>43.625152143333302</v>
      </c>
      <c r="M205" s="62">
        <f>'[10]GA EXPENSE'!M34/1000</f>
        <v>43.625152143333302</v>
      </c>
      <c r="N205" s="62">
        <f>'[10]GA EXPENSE'!N34/1000</f>
        <v>43.625152143333302</v>
      </c>
      <c r="O205" s="62">
        <f>'[10]GA EXPENSE'!O34/1000</f>
        <v>43.625152143333302</v>
      </c>
      <c r="P205" s="62">
        <f t="shared" si="69"/>
        <v>523.5018257199996</v>
      </c>
      <c r="Q205" s="62"/>
      <c r="R205" s="91" t="s">
        <v>98</v>
      </c>
    </row>
    <row r="206" spans="3:20" x14ac:dyDescent="0.3">
      <c r="C206" s="90" t="s">
        <v>232</v>
      </c>
      <c r="D206" s="62">
        <f>[11]Sheet3!F16/1000000</f>
        <v>19.073145833333335</v>
      </c>
      <c r="E206" s="62">
        <f>[11]Sheet3!G16/1000000</f>
        <v>19.073145833333335</v>
      </c>
      <c r="F206" s="62">
        <f>[11]Sheet3!H16/1000000</f>
        <v>19.073145833333335</v>
      </c>
      <c r="G206" s="62">
        <f>[11]Sheet3!I16/1000000</f>
        <v>19.073145833333335</v>
      </c>
      <c r="H206" s="62">
        <f>[11]Sheet3!J16/1000000</f>
        <v>24.823145833333331</v>
      </c>
      <c r="I206" s="62">
        <f>[11]Sheet3!K16/1000000</f>
        <v>19.073145833333335</v>
      </c>
      <c r="J206" s="62">
        <f>[11]Sheet3!L16/1000000</f>
        <v>19.073145833333335</v>
      </c>
      <c r="K206" s="62">
        <f>[11]Sheet3!M16/1000000</f>
        <v>19.073145833333335</v>
      </c>
      <c r="L206" s="62">
        <f>[11]Sheet3!N16/1000000</f>
        <v>19.073145833333335</v>
      </c>
      <c r="M206" s="62">
        <f>[11]Sheet3!O16/1000000</f>
        <v>19.073145833333335</v>
      </c>
      <c r="N206" s="62">
        <f>[11]Sheet3!P16/1000000</f>
        <v>24.073145833333331</v>
      </c>
      <c r="O206" s="62">
        <f>[11]Sheet3!Q16/1000000</f>
        <v>19.073145833333335</v>
      </c>
      <c r="P206" s="62">
        <f t="shared" si="69"/>
        <v>239.62775000000005</v>
      </c>
      <c r="Q206" s="62">
        <f>('[6]PL COnly'!$AB$130+'[6]PL COnly'!$AB$131)*12/8</f>
        <v>120.078129</v>
      </c>
      <c r="R206" s="91">
        <f t="shared" si="68"/>
        <v>0.99559863228715062</v>
      </c>
    </row>
    <row r="207" spans="3:20" x14ac:dyDescent="0.3">
      <c r="C207" s="90" t="s">
        <v>233</v>
      </c>
      <c r="D207" s="62">
        <f>'[10]GA EXPENSE'!D36/1000</f>
        <v>3.9983333333333335</v>
      </c>
      <c r="E207" s="62">
        <f>'[10]GA EXPENSE'!E36/1000</f>
        <v>3.9983333333333335</v>
      </c>
      <c r="F207" s="62">
        <f>'[10]GA EXPENSE'!F36/1000</f>
        <v>3.9983333333333335</v>
      </c>
      <c r="G207" s="62">
        <f>'[10]GA EXPENSE'!G36/1000</f>
        <v>3.9983333333333335</v>
      </c>
      <c r="H207" s="62">
        <f>'[10]GA EXPENSE'!H36/1000</f>
        <v>3.9983333333333335</v>
      </c>
      <c r="I207" s="62">
        <f>'[10]GA EXPENSE'!I36/1000</f>
        <v>3.9983333333333335</v>
      </c>
      <c r="J207" s="62">
        <f>'[10]GA EXPENSE'!J36/1000</f>
        <v>3.9983333333333335</v>
      </c>
      <c r="K207" s="62">
        <f>'[10]GA EXPENSE'!K36/1000</f>
        <v>3.9983333333333335</v>
      </c>
      <c r="L207" s="62">
        <f>'[10]GA EXPENSE'!L36/1000</f>
        <v>3.9983333333333335</v>
      </c>
      <c r="M207" s="62">
        <f>'[10]GA EXPENSE'!M36/1000</f>
        <v>3.9983333333333335</v>
      </c>
      <c r="N207" s="62">
        <f>'[10]GA EXPENSE'!N36/1000</f>
        <v>3.9983333333333335</v>
      </c>
      <c r="O207" s="62">
        <f>'[10]GA EXPENSE'!O36/1000</f>
        <v>3.9983333333333335</v>
      </c>
      <c r="P207" s="62">
        <f t="shared" si="69"/>
        <v>47.980000000000011</v>
      </c>
      <c r="Q207" s="62">
        <f>'[6]PL COnly'!$AB$125*12/8</f>
        <v>54.230746298750006</v>
      </c>
      <c r="R207" s="91">
        <f t="shared" si="68"/>
        <v>-0.11526203722728544</v>
      </c>
    </row>
    <row r="208" spans="3:20" x14ac:dyDescent="0.3">
      <c r="C208" s="90" t="s">
        <v>234</v>
      </c>
      <c r="D208" s="62">
        <f>'[10]GA EXPENSE'!D37/1000</f>
        <v>14.5115</v>
      </c>
      <c r="E208" s="62">
        <f>'[10]GA EXPENSE'!E37/1000</f>
        <v>12.461499999999999</v>
      </c>
      <c r="F208" s="62">
        <f>'[10]GA EXPENSE'!F37/1000</f>
        <v>9.8925000000000001</v>
      </c>
      <c r="G208" s="62">
        <f>'[10]GA EXPENSE'!G37/1000</f>
        <v>12.666499999999999</v>
      </c>
      <c r="H208" s="62">
        <f>'[10]GA EXPENSE'!H37/1000</f>
        <v>12.0525</v>
      </c>
      <c r="I208" s="62">
        <f>'[10]GA EXPENSE'!I37/1000</f>
        <v>11.516500000000001</v>
      </c>
      <c r="J208" s="62">
        <f>'[10]GA EXPENSE'!J37/1000</f>
        <v>11.7525</v>
      </c>
      <c r="K208" s="62">
        <f>'[10]GA EXPENSE'!K37/1000</f>
        <v>11.031499999999999</v>
      </c>
      <c r="L208" s="62">
        <f>'[10]GA EXPENSE'!L37/1000</f>
        <v>12.1225</v>
      </c>
      <c r="M208" s="62">
        <f>'[10]GA EXPENSE'!M37/1000</f>
        <v>12.4315</v>
      </c>
      <c r="N208" s="62">
        <f>'[10]GA EXPENSE'!N37/1000</f>
        <v>12.676500000000001</v>
      </c>
      <c r="O208" s="62">
        <f>'[10]GA EXPENSE'!O37/1000</f>
        <v>9.3324999999999996</v>
      </c>
      <c r="P208" s="62">
        <f t="shared" si="69"/>
        <v>142.44800000000001</v>
      </c>
      <c r="Q208" s="62"/>
      <c r="R208" s="91" t="s">
        <v>98</v>
      </c>
    </row>
    <row r="209" spans="3:22" x14ac:dyDescent="0.3">
      <c r="C209" s="90" t="s">
        <v>235</v>
      </c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>
        <f t="shared" si="69"/>
        <v>0</v>
      </c>
      <c r="Q209" s="62">
        <f>'[6]PL COnly'!$AB$133*12/8+0.4</f>
        <v>18.267057999999999</v>
      </c>
      <c r="R209" s="91">
        <f t="shared" si="68"/>
        <v>-1</v>
      </c>
    </row>
    <row r="210" spans="3:22" x14ac:dyDescent="0.3">
      <c r="C210" s="90" t="s">
        <v>236</v>
      </c>
      <c r="D210" s="62">
        <f>[10]CSR!$H$28/1000000</f>
        <v>13.35</v>
      </c>
      <c r="E210" s="62">
        <f>[10]CSR!$H$28/1000000</f>
        <v>13.35</v>
      </c>
      <c r="F210" s="62">
        <f>[10]CSR!$H$28/1000000</f>
        <v>13.35</v>
      </c>
      <c r="G210" s="62">
        <f>[10]CSR!$H$28/1000000</f>
        <v>13.35</v>
      </c>
      <c r="H210" s="62">
        <f>[10]CSR!$H$28/1000000</f>
        <v>13.35</v>
      </c>
      <c r="I210" s="62">
        <f>[10]CSR!$H$28/1000000</f>
        <v>13.35</v>
      </c>
      <c r="J210" s="62">
        <f>[10]CSR!$H$28/1000000</f>
        <v>13.35</v>
      </c>
      <c r="K210" s="62">
        <f>[10]CSR!$H$28/1000000</f>
        <v>13.35</v>
      </c>
      <c r="L210" s="62">
        <f>[10]CSR!$H$28/1000000</f>
        <v>13.35</v>
      </c>
      <c r="M210" s="62">
        <f>[10]CSR!$H$28/1000000</f>
        <v>13.35</v>
      </c>
      <c r="N210" s="62">
        <f>[10]CSR!$H$28/1000000</f>
        <v>13.35</v>
      </c>
      <c r="O210" s="62">
        <f>[10]CSR!$H$28/1000000</f>
        <v>13.35</v>
      </c>
      <c r="P210" s="62">
        <f t="shared" si="69"/>
        <v>160.19999999999996</v>
      </c>
      <c r="Q210" s="62"/>
      <c r="R210" s="62"/>
    </row>
    <row r="211" spans="3:22" ht="13.5" thickBot="1" x14ac:dyDescent="0.35">
      <c r="C211" s="90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</row>
    <row r="212" spans="3:22" ht="13.5" thickBot="1" x14ac:dyDescent="0.35">
      <c r="C212" s="92" t="s">
        <v>237</v>
      </c>
      <c r="D212" s="93">
        <f>SUM(D179:D211)</f>
        <v>1738.2032444729723</v>
      </c>
      <c r="E212" s="93">
        <f t="shared" ref="E212:P212" si="72">SUM(E179:E211)</f>
        <v>1861.3768444729719</v>
      </c>
      <c r="F212" s="93">
        <f t="shared" si="72"/>
        <v>1634.823244472972</v>
      </c>
      <c r="G212" s="93">
        <f t="shared" si="72"/>
        <v>1619.5498944729723</v>
      </c>
      <c r="H212" s="93">
        <f t="shared" si="72"/>
        <v>1719.8302554567558</v>
      </c>
      <c r="I212" s="93">
        <f t="shared" si="72"/>
        <v>1538.3438444729723</v>
      </c>
      <c r="J212" s="93">
        <f t="shared" si="72"/>
        <v>1591.9618928063055</v>
      </c>
      <c r="K212" s="93">
        <f t="shared" si="72"/>
        <v>1481.0951778063054</v>
      </c>
      <c r="L212" s="93">
        <f t="shared" si="72"/>
        <v>1545.0841778063054</v>
      </c>
      <c r="M212" s="93">
        <f t="shared" si="72"/>
        <v>1861.9201778063052</v>
      </c>
      <c r="N212" s="93">
        <f t="shared" si="72"/>
        <v>1527.4791778063054</v>
      </c>
      <c r="O212" s="93">
        <f t="shared" si="72"/>
        <v>1517.9211778063054</v>
      </c>
      <c r="P212" s="93">
        <f t="shared" si="72"/>
        <v>19637.589109659461</v>
      </c>
      <c r="Q212" s="93">
        <f>SUM(Q179:Q211)</f>
        <v>28633.297724817628</v>
      </c>
      <c r="R212" s="85">
        <f>+(P212-Q212)/Q212</f>
        <v>-0.31416949251225179</v>
      </c>
      <c r="S212" s="17">
        <f>SUM(P186:P210)-P196</f>
        <v>8749.4477257037834</v>
      </c>
      <c r="T212" s="17">
        <f>SUM(Q186:Q210)-Q196</f>
        <v>8375.2897185396396</v>
      </c>
      <c r="U212" s="14">
        <f>(S212-T212)/T212</f>
        <v>4.467403752444566E-2</v>
      </c>
      <c r="V212" s="20">
        <f>S212-T212</f>
        <v>374.15800716414378</v>
      </c>
    </row>
    <row r="213" spans="3:22" ht="13.5" thickBot="1" x14ac:dyDescent="0.35">
      <c r="C213" s="106" t="s">
        <v>238</v>
      </c>
      <c r="D213" s="93">
        <f t="shared" ref="D213:Q213" si="73">D212+D177</f>
        <v>3453.6781396053598</v>
      </c>
      <c r="E213" s="93">
        <f t="shared" si="73"/>
        <v>3533.410479713697</v>
      </c>
      <c r="F213" s="93">
        <f t="shared" si="73"/>
        <v>3409.1270341366881</v>
      </c>
      <c r="G213" s="93">
        <f t="shared" si="73"/>
        <v>3083.3487548306839</v>
      </c>
      <c r="H213" s="93">
        <f t="shared" si="73"/>
        <v>3521.1113963937919</v>
      </c>
      <c r="I213" s="93">
        <f t="shared" si="73"/>
        <v>3515.855623646783</v>
      </c>
      <c r="J213" s="93">
        <f t="shared" si="73"/>
        <v>3670.504252863981</v>
      </c>
      <c r="K213" s="93">
        <f t="shared" si="73"/>
        <v>3588.2735666834897</v>
      </c>
      <c r="L213" s="93">
        <f t="shared" si="73"/>
        <v>3741.1285004051115</v>
      </c>
      <c r="M213" s="93">
        <f t="shared" si="73"/>
        <v>4304.465043428354</v>
      </c>
      <c r="N213" s="93">
        <f t="shared" si="73"/>
        <v>3628.3889343594042</v>
      </c>
      <c r="O213" s="93">
        <f t="shared" si="73"/>
        <v>3473.6209628029987</v>
      </c>
      <c r="P213" s="93">
        <f t="shared" si="73"/>
        <v>42922.912688870354</v>
      </c>
      <c r="Q213" s="93">
        <f t="shared" si="73"/>
        <v>45926.012929654913</v>
      </c>
      <c r="R213" s="85">
        <f>(P213-Q213)/Q213</f>
        <v>-6.5389962010950556E-2</v>
      </c>
    </row>
    <row r="214" spans="3:22" x14ac:dyDescent="0.3">
      <c r="C214" s="90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7"/>
      <c r="Q214" s="107"/>
      <c r="R214" s="107"/>
    </row>
    <row r="215" spans="3:22" x14ac:dyDescent="0.3">
      <c r="C215" s="108" t="s">
        <v>239</v>
      </c>
      <c r="D215" s="103">
        <f t="shared" ref="D215:R215" si="74">D155-D213</f>
        <v>3096.7935454935955</v>
      </c>
      <c r="E215" s="103">
        <f t="shared" si="74"/>
        <v>3333.9741134733595</v>
      </c>
      <c r="F215" s="103">
        <f t="shared" si="74"/>
        <v>3142.0295342412455</v>
      </c>
      <c r="G215" s="103">
        <f t="shared" si="74"/>
        <v>2942.4830809599644</v>
      </c>
      <c r="H215" s="103">
        <f t="shared" si="74"/>
        <v>4525.6245101118457</v>
      </c>
      <c r="I215" s="103">
        <f t="shared" si="74"/>
        <v>5683.6881627091625</v>
      </c>
      <c r="J215" s="103">
        <f t="shared" si="74"/>
        <v>7226.7468775721882</v>
      </c>
      <c r="K215" s="103">
        <f t="shared" si="74"/>
        <v>6270.125896099823</v>
      </c>
      <c r="L215" s="103">
        <f t="shared" si="74"/>
        <v>6472.1373709964046</v>
      </c>
      <c r="M215" s="103">
        <f t="shared" si="74"/>
        <v>8707.9473132151907</v>
      </c>
      <c r="N215" s="103">
        <f t="shared" si="74"/>
        <v>6762.3468005083832</v>
      </c>
      <c r="O215" s="103">
        <f t="shared" si="74"/>
        <v>6104.5849403211487</v>
      </c>
      <c r="P215" s="103">
        <f t="shared" si="74"/>
        <v>64268.482145702386</v>
      </c>
      <c r="Q215" s="103">
        <f t="shared" si="74"/>
        <v>4113.7152053883765</v>
      </c>
      <c r="R215" s="103">
        <f t="shared" si="74"/>
        <v>6.5389962010950556E-2</v>
      </c>
    </row>
    <row r="216" spans="3:22" x14ac:dyDescent="0.3">
      <c r="C216" s="108"/>
      <c r="D216" s="43">
        <f t="shared" ref="D216:R216" si="75">D215/D112</f>
        <v>0.14236008212810652</v>
      </c>
      <c r="E216" s="43">
        <f t="shared" si="75"/>
        <v>0.13977627092121214</v>
      </c>
      <c r="F216" s="43">
        <f t="shared" si="75"/>
        <v>0.13222508307510039</v>
      </c>
      <c r="G216" s="43">
        <f t="shared" si="75"/>
        <v>0.1314165528160349</v>
      </c>
      <c r="H216" s="43">
        <f t="shared" si="75"/>
        <v>0.16969224185717099</v>
      </c>
      <c r="I216" s="43">
        <f t="shared" si="75"/>
        <v>0.20157559924753493</v>
      </c>
      <c r="J216" s="43">
        <f t="shared" si="75"/>
        <v>0.20564928327627613</v>
      </c>
      <c r="K216" s="43">
        <f t="shared" si="75"/>
        <v>0.19706931588455581</v>
      </c>
      <c r="L216" s="43">
        <f t="shared" si="75"/>
        <v>0.19640148250134917</v>
      </c>
      <c r="M216" s="43">
        <f t="shared" si="75"/>
        <v>0.2186658863600667</v>
      </c>
      <c r="N216" s="43">
        <f t="shared" si="75"/>
        <v>0.20290493657405037</v>
      </c>
      <c r="O216" s="43">
        <f t="shared" si="75"/>
        <v>0.1953708947353375</v>
      </c>
      <c r="P216" s="107">
        <f t="shared" si="75"/>
        <v>0.18313601211995181</v>
      </c>
      <c r="Q216" s="107" t="e">
        <f>Q215/Q111</f>
        <v>#DIV/0!</v>
      </c>
      <c r="R216" s="107">
        <f t="shared" si="75"/>
        <v>0.31173489276409772</v>
      </c>
    </row>
    <row r="217" spans="3:22" x14ac:dyDescent="0.3">
      <c r="C217" s="108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</row>
    <row r="218" spans="3:22" x14ac:dyDescent="0.3">
      <c r="C218" s="110" t="s">
        <v>240</v>
      </c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>
        <f>D218+E218+F218+G218+H218+I218+J218+K218+L218+M218+N218+O218</f>
        <v>0</v>
      </c>
      <c r="Q218" s="62">
        <f>Q31</f>
        <v>39.499361344302969</v>
      </c>
      <c r="R218" s="62"/>
    </row>
    <row r="219" spans="3:22" x14ac:dyDescent="0.3">
      <c r="C219" s="110" t="s">
        <v>241</v>
      </c>
      <c r="D219" s="62">
        <v>-510.79141188888889</v>
      </c>
      <c r="E219" s="62">
        <v>-460.63117222222223</v>
      </c>
      <c r="F219" s="62">
        <v>-505.63289288888882</v>
      </c>
      <c r="G219" s="62">
        <v>-487.1995936666666</v>
      </c>
      <c r="H219" s="62">
        <v>-500.52102488888886</v>
      </c>
      <c r="I219" s="62">
        <v>-482.18598166666663</v>
      </c>
      <c r="J219" s="62">
        <v>-426.56922299999997</v>
      </c>
      <c r="K219" s="62">
        <v>-424.00036299999994</v>
      </c>
      <c r="L219" s="62">
        <v>-407.81249999999994</v>
      </c>
      <c r="M219" s="62">
        <v>-421.40624999999994</v>
      </c>
      <c r="N219" s="62">
        <v>-407.81249999999994</v>
      </c>
      <c r="O219" s="62">
        <v>-421.40624999999994</v>
      </c>
      <c r="P219" s="62">
        <f>D219+E219+F219+G219+H219+I219+J219+K219+L219+M219+N219+O219</f>
        <v>-5455.9691632222221</v>
      </c>
      <c r="Q219" s="62">
        <f>Q32</f>
        <v>-4759.69037398</v>
      </c>
      <c r="R219" s="62"/>
    </row>
    <row r="220" spans="3:22" x14ac:dyDescent="0.3">
      <c r="C220" s="110" t="s">
        <v>242</v>
      </c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>
        <f>D220+E220+F220+G220+H220+I220+J220+K220+L220+M220+N220+O220</f>
        <v>0</v>
      </c>
      <c r="Q220" s="62">
        <f t="shared" ref="Q220:Q221" si="76">Q33</f>
        <v>299.32313395465553</v>
      </c>
      <c r="R220" s="62"/>
    </row>
    <row r="221" spans="3:22" ht="13.5" thickBot="1" x14ac:dyDescent="0.35">
      <c r="C221" s="110" t="s">
        <v>243</v>
      </c>
      <c r="D221" s="62">
        <v>100</v>
      </c>
      <c r="E221" s="62">
        <v>100</v>
      </c>
      <c r="F221" s="62">
        <v>100</v>
      </c>
      <c r="G221" s="62">
        <v>100</v>
      </c>
      <c r="H221" s="62">
        <f>100+1738</f>
        <v>1838</v>
      </c>
      <c r="I221" s="62">
        <v>100</v>
      </c>
      <c r="J221" s="62">
        <v>100</v>
      </c>
      <c r="K221" s="62">
        <v>100</v>
      </c>
      <c r="L221" s="62">
        <v>100</v>
      </c>
      <c r="M221" s="62">
        <v>100</v>
      </c>
      <c r="N221" s="62">
        <v>100</v>
      </c>
      <c r="O221" s="62">
        <v>100</v>
      </c>
      <c r="P221" s="62">
        <f>D221+E221+F221+G221+H221+I221+J221+K221+L221+M221+N221+O221</f>
        <v>2938</v>
      </c>
      <c r="Q221" s="62">
        <f t="shared" si="76"/>
        <v>2075.6446161639456</v>
      </c>
      <c r="R221" s="62"/>
    </row>
    <row r="222" spans="3:22" ht="13.5" thickBot="1" x14ac:dyDescent="0.35">
      <c r="C222" s="92" t="s">
        <v>244</v>
      </c>
      <c r="D222" s="93">
        <f t="shared" ref="D222:P222" si="77">SUM(D218:D221)</f>
        <v>-410.79141188888889</v>
      </c>
      <c r="E222" s="93">
        <f t="shared" si="77"/>
        <v>-360.63117222222223</v>
      </c>
      <c r="F222" s="93">
        <f t="shared" si="77"/>
        <v>-405.63289288888882</v>
      </c>
      <c r="G222" s="93">
        <f t="shared" si="77"/>
        <v>-387.1995936666666</v>
      </c>
      <c r="H222" s="93">
        <f t="shared" si="77"/>
        <v>1337.4789751111111</v>
      </c>
      <c r="I222" s="93">
        <f t="shared" si="77"/>
        <v>-382.18598166666663</v>
      </c>
      <c r="J222" s="93">
        <f t="shared" si="77"/>
        <v>-326.56922299999997</v>
      </c>
      <c r="K222" s="93">
        <f t="shared" si="77"/>
        <v>-324.00036299999994</v>
      </c>
      <c r="L222" s="93">
        <f t="shared" si="77"/>
        <v>-307.81249999999994</v>
      </c>
      <c r="M222" s="93">
        <f t="shared" si="77"/>
        <v>-321.40624999999994</v>
      </c>
      <c r="N222" s="93">
        <f t="shared" si="77"/>
        <v>-307.81249999999994</v>
      </c>
      <c r="O222" s="93">
        <f t="shared" si="77"/>
        <v>-321.40624999999994</v>
      </c>
      <c r="P222" s="93">
        <f t="shared" si="77"/>
        <v>-2517.9691632222221</v>
      </c>
      <c r="Q222" s="93">
        <f>SUM(Q218:Q221)</f>
        <v>-2345.2232625170959</v>
      </c>
      <c r="R222" s="93">
        <f t="shared" ref="R222" si="78">SUM(R218:R221)</f>
        <v>0</v>
      </c>
      <c r="S222" s="17">
        <f>Q222-Q36</f>
        <v>0</v>
      </c>
    </row>
    <row r="223" spans="3:22" x14ac:dyDescent="0.3">
      <c r="C223" s="90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</row>
    <row r="224" spans="3:22" ht="15.5" x14ac:dyDescent="0.35">
      <c r="C224" s="111" t="s">
        <v>245</v>
      </c>
      <c r="D224" s="103">
        <f t="shared" ref="D224:R224" si="79">D215+D222</f>
        <v>2686.0021336047066</v>
      </c>
      <c r="E224" s="103">
        <f t="shared" si="79"/>
        <v>2973.3429412511373</v>
      </c>
      <c r="F224" s="103">
        <f t="shared" si="79"/>
        <v>2736.3966413523567</v>
      </c>
      <c r="G224" s="103">
        <f t="shared" si="79"/>
        <v>2555.2834872932976</v>
      </c>
      <c r="H224" s="103">
        <f t="shared" si="79"/>
        <v>5863.1034852229568</v>
      </c>
      <c r="I224" s="103">
        <f t="shared" si="79"/>
        <v>5301.502181042496</v>
      </c>
      <c r="J224" s="103">
        <f t="shared" si="79"/>
        <v>6900.1776545721877</v>
      </c>
      <c r="K224" s="103">
        <f t="shared" si="79"/>
        <v>5946.1255330998229</v>
      </c>
      <c r="L224" s="103">
        <f t="shared" si="79"/>
        <v>6164.3248709964046</v>
      </c>
      <c r="M224" s="103">
        <f t="shared" si="79"/>
        <v>8386.5410632151907</v>
      </c>
      <c r="N224" s="103">
        <f t="shared" si="79"/>
        <v>6454.5343005083832</v>
      </c>
      <c r="O224" s="103">
        <f t="shared" si="79"/>
        <v>5783.1786903211487</v>
      </c>
      <c r="P224" s="103">
        <f t="shared" si="79"/>
        <v>61750.512982480162</v>
      </c>
      <c r="Q224" s="103">
        <f t="shared" si="79"/>
        <v>1768.4919428712806</v>
      </c>
      <c r="R224" s="103">
        <f t="shared" si="79"/>
        <v>6.5389962010950556E-2</v>
      </c>
      <c r="S224" s="17">
        <f>Q224-Q38</f>
        <v>0.25176537431252655</v>
      </c>
      <c r="T224" s="20"/>
    </row>
    <row r="225" spans="1:18" ht="13.5" thickBot="1" x14ac:dyDescent="0.35">
      <c r="C225" s="112"/>
      <c r="D225" s="113">
        <f t="shared" ref="D225:R225" si="80">D224/D112</f>
        <v>0.1234759368743415</v>
      </c>
      <c r="E225" s="113">
        <f t="shared" si="80"/>
        <v>0.12465687325478798</v>
      </c>
      <c r="F225" s="113">
        <f t="shared" si="80"/>
        <v>0.1151549561473538</v>
      </c>
      <c r="G225" s="113">
        <f t="shared" si="80"/>
        <v>0.11412352701048224</v>
      </c>
      <c r="H225" s="113">
        <f t="shared" si="80"/>
        <v>0.21984218364229421</v>
      </c>
      <c r="I225" s="113">
        <f t="shared" si="80"/>
        <v>0.18802113143138641</v>
      </c>
      <c r="J225" s="113">
        <f t="shared" si="80"/>
        <v>0.19635620469088055</v>
      </c>
      <c r="K225" s="113">
        <f t="shared" si="80"/>
        <v>0.18688602276719202</v>
      </c>
      <c r="L225" s="113">
        <f t="shared" si="80"/>
        <v>0.18706069940806028</v>
      </c>
      <c r="M225" s="113">
        <f t="shared" si="80"/>
        <v>0.2105950310815492</v>
      </c>
      <c r="N225" s="113">
        <f t="shared" si="80"/>
        <v>0.1936689897006211</v>
      </c>
      <c r="O225" s="113">
        <f t="shared" si="80"/>
        <v>0.18508462183555766</v>
      </c>
      <c r="P225" s="113">
        <f t="shared" si="80"/>
        <v>0.1759609425399965</v>
      </c>
      <c r="Q225" s="113" t="e">
        <f>Q224/Q111</f>
        <v>#DIV/0!</v>
      </c>
      <c r="R225" s="113">
        <f t="shared" si="80"/>
        <v>0.31173489276409772</v>
      </c>
    </row>
    <row r="226" spans="1:18" x14ac:dyDescent="0.3">
      <c r="C226" s="114"/>
      <c r="D226" s="115"/>
    </row>
    <row r="227" spans="1:18" x14ac:dyDescent="0.3">
      <c r="C227" s="114"/>
      <c r="D227" s="115"/>
    </row>
    <row r="228" spans="1:18" ht="13.5" thickBot="1" x14ac:dyDescent="0.35">
      <c r="C228" s="66" t="s">
        <v>246</v>
      </c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8" ht="13.5" customHeight="1" thickBot="1" x14ac:dyDescent="0.35">
      <c r="C229" s="23" t="s">
        <v>69</v>
      </c>
      <c r="D229" s="24" t="s">
        <v>70</v>
      </c>
      <c r="E229" s="24" t="s">
        <v>71</v>
      </c>
      <c r="F229" s="24" t="s">
        <v>72</v>
      </c>
      <c r="G229" s="24" t="s">
        <v>73</v>
      </c>
      <c r="H229" s="24" t="s">
        <v>74</v>
      </c>
      <c r="I229" s="24" t="s">
        <v>75</v>
      </c>
      <c r="J229" s="24" t="s">
        <v>76</v>
      </c>
      <c r="K229" s="24" t="s">
        <v>77</v>
      </c>
      <c r="L229" s="24" t="s">
        <v>78</v>
      </c>
      <c r="M229" s="24" t="s">
        <v>79</v>
      </c>
      <c r="N229" s="24" t="s">
        <v>80</v>
      </c>
      <c r="O229" s="24" t="s">
        <v>81</v>
      </c>
      <c r="P229" s="25" t="s">
        <v>110</v>
      </c>
    </row>
    <row r="230" spans="1:18" ht="13.5" thickBot="1" x14ac:dyDescent="0.35">
      <c r="C230" s="116" t="s">
        <v>247</v>
      </c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</row>
    <row r="231" spans="1:18" x14ac:dyDescent="0.3">
      <c r="C231" s="86"/>
      <c r="D231" s="87"/>
      <c r="E231" s="88"/>
      <c r="F231" s="89"/>
      <c r="G231" s="89"/>
      <c r="H231" s="89"/>
      <c r="I231" s="89"/>
      <c r="J231" s="89"/>
      <c r="K231" s="89"/>
      <c r="L231" s="87"/>
      <c r="M231" s="89"/>
      <c r="N231" s="89"/>
      <c r="O231" s="89"/>
      <c r="P231" s="89"/>
    </row>
    <row r="232" spans="1:18" x14ac:dyDescent="0.3">
      <c r="C232" s="90" t="s">
        <v>147</v>
      </c>
      <c r="D232" s="62">
        <f>[14]Resume_DM!E172/1000000</f>
        <v>11420.273230833684</v>
      </c>
      <c r="E232" s="62">
        <f>[14]Resume_DM!F172/1000000</f>
        <v>13108.737386124752</v>
      </c>
      <c r="F232" s="62">
        <f>[14]Resume_DM!G172/1000000</f>
        <v>13277.465336928475</v>
      </c>
      <c r="G232" s="62">
        <f>[14]Resume_DM!H172/1000000</f>
        <v>12505.9997486585</v>
      </c>
      <c r="H232" s="62">
        <f>[14]Resume_DM!I172/1000000</f>
        <v>14789.730889719922</v>
      </c>
      <c r="I232" s="62">
        <f>[14]Resume_DM!J172/1000000</f>
        <v>15090.647845996647</v>
      </c>
      <c r="J232" s="62">
        <f>[14]Resume_DM!K172/1000000</f>
        <v>19898.029100538741</v>
      </c>
      <c r="K232" s="62">
        <f>[14]Resume_DM!L172/1000000</f>
        <v>17851.80852373059</v>
      </c>
      <c r="L232" s="62">
        <f>[14]Resume_DM!M172/1000000</f>
        <v>18437.916210210304</v>
      </c>
      <c r="M232" s="62">
        <f>[14]Resume_DM!N172/1000000</f>
        <v>22405.079583103172</v>
      </c>
      <c r="N232" s="62">
        <f>[14]Resume_DM!O172/1000000</f>
        <v>18589.75992795849</v>
      </c>
      <c r="O232" s="62">
        <f>[14]Resume_DM!P172/1000000</f>
        <v>17396.016519662822</v>
      </c>
      <c r="P232" s="62">
        <f t="shared" ref="P232:P234" si="81">D232+E232+F232+G232+H232+I232+J232+K232+L232+M232+N232+O232</f>
        <v>194771.46430346608</v>
      </c>
    </row>
    <row r="233" spans="1:18" x14ac:dyDescent="0.3">
      <c r="C233" s="33" t="s">
        <v>148</v>
      </c>
      <c r="D233" s="62">
        <f>[15]Sheet1!D219/1000000</f>
        <v>0</v>
      </c>
      <c r="E233" s="62">
        <f>[15]Sheet1!E219/1000000</f>
        <v>0</v>
      </c>
      <c r="F233" s="62">
        <f>[15]Sheet1!F219/1000000</f>
        <v>0</v>
      </c>
      <c r="G233" s="62">
        <f>[15]Sheet1!G219/1000000</f>
        <v>0</v>
      </c>
      <c r="H233" s="62">
        <f>[15]Sheet1!H219/1000000</f>
        <v>0</v>
      </c>
      <c r="I233" s="62">
        <f>[15]Sheet1!I219/1000000</f>
        <v>0</v>
      </c>
      <c r="J233" s="62">
        <f>[15]Sheet1!J219/1000000</f>
        <v>0</v>
      </c>
      <c r="K233" s="62">
        <f>[15]Sheet1!K219/1000000</f>
        <v>0</v>
      </c>
      <c r="L233" s="62">
        <f>[15]Sheet1!L219/1000000</f>
        <v>0</v>
      </c>
      <c r="M233" s="62">
        <f>[15]Sheet1!M219/1000000</f>
        <v>0</v>
      </c>
      <c r="N233" s="62">
        <f>[15]Sheet1!N219/1000000</f>
        <v>0</v>
      </c>
      <c r="O233" s="62">
        <f>[15]Sheet1!O219/1000000</f>
        <v>0</v>
      </c>
      <c r="P233" s="62">
        <f t="shared" si="81"/>
        <v>0</v>
      </c>
    </row>
    <row r="234" spans="1:18" x14ac:dyDescent="0.3">
      <c r="C234" s="90" t="s">
        <v>149</v>
      </c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>
        <f t="shared" si="81"/>
        <v>0</v>
      </c>
    </row>
    <row r="235" spans="1:18" ht="13.5" thickBot="1" x14ac:dyDescent="0.35">
      <c r="C235" s="90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</row>
    <row r="236" spans="1:18" ht="13.5" thickBot="1" x14ac:dyDescent="0.35">
      <c r="A236" s="20"/>
      <c r="B236" s="20"/>
      <c r="C236" s="92" t="s">
        <v>150</v>
      </c>
      <c r="D236" s="93">
        <f t="shared" ref="D236:P236" si="82">SUM(D232:D235)</f>
        <v>11420.273230833684</v>
      </c>
      <c r="E236" s="93">
        <f t="shared" si="82"/>
        <v>13108.737386124752</v>
      </c>
      <c r="F236" s="93">
        <f t="shared" si="82"/>
        <v>13277.465336928475</v>
      </c>
      <c r="G236" s="93">
        <f t="shared" si="82"/>
        <v>12505.9997486585</v>
      </c>
      <c r="H236" s="93">
        <f t="shared" si="82"/>
        <v>14789.730889719922</v>
      </c>
      <c r="I236" s="93">
        <f t="shared" si="82"/>
        <v>15090.647845996647</v>
      </c>
      <c r="J236" s="93">
        <f t="shared" si="82"/>
        <v>19898.029100538741</v>
      </c>
      <c r="K236" s="93">
        <f t="shared" si="82"/>
        <v>17851.80852373059</v>
      </c>
      <c r="L236" s="93">
        <f t="shared" si="82"/>
        <v>18437.916210210304</v>
      </c>
      <c r="M236" s="93">
        <f t="shared" si="82"/>
        <v>22405.079583103172</v>
      </c>
      <c r="N236" s="93">
        <f t="shared" si="82"/>
        <v>18589.75992795849</v>
      </c>
      <c r="O236" s="93">
        <f t="shared" si="82"/>
        <v>17396.016519662822</v>
      </c>
      <c r="P236" s="93">
        <f t="shared" si="82"/>
        <v>194771.46430346608</v>
      </c>
    </row>
    <row r="237" spans="1:18" x14ac:dyDescent="0.3">
      <c r="C237" s="94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43"/>
    </row>
    <row r="238" spans="1:18" x14ac:dyDescent="0.3">
      <c r="C238" s="90" t="s">
        <v>151</v>
      </c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62">
        <f t="shared" ref="P238:P255" si="83">D238+E238+F238+G238+H238+I238+J238+K238+L238+M238+N238+O238</f>
        <v>0</v>
      </c>
    </row>
    <row r="239" spans="1:18" x14ac:dyDescent="0.3">
      <c r="C239" s="90" t="s">
        <v>152</v>
      </c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62">
        <f t="shared" si="83"/>
        <v>0</v>
      </c>
    </row>
    <row r="240" spans="1:18" x14ac:dyDescent="0.3">
      <c r="C240" s="90" t="s">
        <v>153</v>
      </c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62">
        <f t="shared" si="83"/>
        <v>0</v>
      </c>
    </row>
    <row r="241" spans="2:16" x14ac:dyDescent="0.3">
      <c r="C241" s="90" t="s">
        <v>154</v>
      </c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62">
        <f t="shared" si="83"/>
        <v>0</v>
      </c>
    </row>
    <row r="242" spans="2:16" x14ac:dyDescent="0.3">
      <c r="C242" s="90" t="s">
        <v>155</v>
      </c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62">
        <f t="shared" si="83"/>
        <v>0</v>
      </c>
    </row>
    <row r="243" spans="2:16" x14ac:dyDescent="0.3">
      <c r="C243" s="90" t="s">
        <v>156</v>
      </c>
      <c r="D243" s="103">
        <f>[15]Sheet1!D229/1000000</f>
        <v>0</v>
      </c>
      <c r="E243" s="103">
        <f>[15]Sheet1!E229/1000000</f>
        <v>0</v>
      </c>
      <c r="F243" s="103">
        <f>[15]Sheet1!F229/1000000</f>
        <v>0</v>
      </c>
      <c r="G243" s="103">
        <f>[15]Sheet1!G229/1000000</f>
        <v>0</v>
      </c>
      <c r="H243" s="103">
        <f>[15]Sheet1!H229/1000000</f>
        <v>0</v>
      </c>
      <c r="I243" s="103">
        <f>[15]Sheet1!I229/1000000</f>
        <v>0</v>
      </c>
      <c r="J243" s="103">
        <f>[15]Sheet1!J229/1000000</f>
        <v>0</v>
      </c>
      <c r="K243" s="103">
        <f>[15]Sheet1!K229/1000000</f>
        <v>0</v>
      </c>
      <c r="L243" s="103">
        <f>[15]Sheet1!L229/1000000</f>
        <v>0</v>
      </c>
      <c r="M243" s="103">
        <f>[15]Sheet1!M229/1000000</f>
        <v>0</v>
      </c>
      <c r="N243" s="103">
        <f>[15]Sheet1!N229/1000000</f>
        <v>0</v>
      </c>
      <c r="O243" s="103">
        <f>[15]Sheet1!O229/1000000</f>
        <v>0</v>
      </c>
      <c r="P243" s="62">
        <f t="shared" si="83"/>
        <v>0</v>
      </c>
    </row>
    <row r="244" spans="2:16" x14ac:dyDescent="0.3">
      <c r="C244" s="90" t="s">
        <v>157</v>
      </c>
      <c r="D244" s="103">
        <f>[15]Sheet1!D230/1000000</f>
        <v>0</v>
      </c>
      <c r="E244" s="103">
        <f>[15]Sheet1!E230/1000000</f>
        <v>0</v>
      </c>
      <c r="F244" s="103">
        <f>[15]Sheet1!F230/1000000</f>
        <v>0</v>
      </c>
      <c r="G244" s="103">
        <f>[15]Sheet1!G230/1000000</f>
        <v>0</v>
      </c>
      <c r="H244" s="103">
        <f>[15]Sheet1!H230/1000000</f>
        <v>0</v>
      </c>
      <c r="I244" s="103">
        <f>[15]Sheet1!I230/1000000</f>
        <v>0</v>
      </c>
      <c r="J244" s="103">
        <f>[15]Sheet1!J230/1000000</f>
        <v>0</v>
      </c>
      <c r="K244" s="103">
        <f>[15]Sheet1!K230/1000000</f>
        <v>0</v>
      </c>
      <c r="L244" s="103">
        <f>[15]Sheet1!L230/1000000</f>
        <v>0</v>
      </c>
      <c r="M244" s="103">
        <f>[15]Sheet1!M230/1000000</f>
        <v>0</v>
      </c>
      <c r="N244" s="103">
        <f>[15]Sheet1!N230/1000000</f>
        <v>0</v>
      </c>
      <c r="O244" s="103">
        <f>[15]Sheet1!O230/1000000</f>
        <v>0</v>
      </c>
      <c r="P244" s="62">
        <f t="shared" si="83"/>
        <v>0</v>
      </c>
    </row>
    <row r="245" spans="2:16" x14ac:dyDescent="0.3">
      <c r="B245" s="20"/>
      <c r="C245" s="90" t="s">
        <v>158</v>
      </c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62">
        <f t="shared" si="83"/>
        <v>0</v>
      </c>
    </row>
    <row r="246" spans="2:16" x14ac:dyDescent="0.3">
      <c r="C246" s="90" t="s">
        <v>159</v>
      </c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62">
        <f t="shared" si="83"/>
        <v>0</v>
      </c>
    </row>
    <row r="247" spans="2:16" x14ac:dyDescent="0.3">
      <c r="C247" s="90" t="s">
        <v>160</v>
      </c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62">
        <f t="shared" si="83"/>
        <v>0</v>
      </c>
    </row>
    <row r="248" spans="2:16" x14ac:dyDescent="0.3">
      <c r="C248" s="90" t="s">
        <v>161</v>
      </c>
      <c r="D248" s="103">
        <f>'[13]Budget Depre'!E3/1000000</f>
        <v>0</v>
      </c>
      <c r="E248" s="103">
        <f>'[13]Budget Depre'!F3/1000000</f>
        <v>0</v>
      </c>
      <c r="F248" s="103">
        <f>'[13]Budget Depre'!G3/1000000</f>
        <v>0</v>
      </c>
      <c r="G248" s="103">
        <f>'[13]Budget Depre'!H3/1000000</f>
        <v>0</v>
      </c>
      <c r="H248" s="103">
        <f>'[13]Budget Depre'!I3/1000000</f>
        <v>0</v>
      </c>
      <c r="I248" s="103">
        <f>'[13]Budget Depre'!J3/1000000</f>
        <v>0</v>
      </c>
      <c r="J248" s="103">
        <f>'[13]Budget Depre'!K3/1000000</f>
        <v>0</v>
      </c>
      <c r="K248" s="103">
        <f>'[13]Budget Depre'!L3/1000000</f>
        <v>0</v>
      </c>
      <c r="L248" s="103">
        <f>'[13]Budget Depre'!M3/1000000</f>
        <v>0</v>
      </c>
      <c r="M248" s="103">
        <f>'[13]Budget Depre'!N3/1000000</f>
        <v>0</v>
      </c>
      <c r="N248" s="103">
        <f>'[13]Budget Depre'!O3/1000000</f>
        <v>0</v>
      </c>
      <c r="O248" s="103">
        <f>'[13]Budget Depre'!P3/1000000</f>
        <v>0</v>
      </c>
      <c r="P248" s="62">
        <f t="shared" si="83"/>
        <v>0</v>
      </c>
    </row>
    <row r="249" spans="2:16" x14ac:dyDescent="0.3">
      <c r="C249" s="90" t="s">
        <v>162</v>
      </c>
      <c r="D249" s="103">
        <f>'[13]Budget Depre'!E4/1000000</f>
        <v>24.540835999999999</v>
      </c>
      <c r="E249" s="103">
        <f>'[13]Budget Depre'!F4/1000000</f>
        <v>24.540835999999999</v>
      </c>
      <c r="F249" s="103">
        <f>'[13]Budget Depre'!G4/1000000</f>
        <v>24.540835999999999</v>
      </c>
      <c r="G249" s="103">
        <f>'[13]Budget Depre'!H4/1000000</f>
        <v>25.374169333333331</v>
      </c>
      <c r="H249" s="103">
        <f>'[13]Budget Depre'!I4/1000000</f>
        <v>25.374169333333331</v>
      </c>
      <c r="I249" s="103">
        <f>'[13]Budget Depre'!J4/1000000</f>
        <v>25.374169333333331</v>
      </c>
      <c r="J249" s="103">
        <f>'[13]Budget Depre'!K4/1000000</f>
        <v>25.374169333333331</v>
      </c>
      <c r="K249" s="103">
        <f>'[13]Budget Depre'!L4/1000000</f>
        <v>25.374169333333331</v>
      </c>
      <c r="L249" s="103">
        <f>'[13]Budget Depre'!M4/1000000</f>
        <v>25.374169333333331</v>
      </c>
      <c r="M249" s="103">
        <f>'[13]Budget Depre'!N4/1000000</f>
        <v>25.374169333333331</v>
      </c>
      <c r="N249" s="103">
        <f>'[13]Budget Depre'!O4/1000000</f>
        <v>25.374169333333331</v>
      </c>
      <c r="O249" s="103">
        <f>'[13]Budget Depre'!P4/1000000</f>
        <v>25.374169333333331</v>
      </c>
      <c r="P249" s="62">
        <f t="shared" si="83"/>
        <v>301.99003199999999</v>
      </c>
    </row>
    <row r="250" spans="2:16" x14ac:dyDescent="0.3">
      <c r="C250" s="90" t="s">
        <v>163</v>
      </c>
      <c r="D250" s="103">
        <f>'[13]Budget Depre'!E5/1000000</f>
        <v>105.03928000000001</v>
      </c>
      <c r="E250" s="103">
        <f>'[13]Budget Depre'!F5/1000000</f>
        <v>105.03928000000001</v>
      </c>
      <c r="F250" s="103">
        <f>'[13]Budget Depre'!G5/1000000</f>
        <v>105.03928000000001</v>
      </c>
      <c r="G250" s="103">
        <f>'[13]Budget Depre'!H5/1000000</f>
        <v>105.03928000000001</v>
      </c>
      <c r="H250" s="103">
        <f>'[13]Budget Depre'!I5/1000000</f>
        <v>105.03928000000001</v>
      </c>
      <c r="I250" s="103">
        <f>'[13]Budget Depre'!J5/1000000</f>
        <v>105.03928000000001</v>
      </c>
      <c r="J250" s="103">
        <f>'[13]Budget Depre'!K5/1000000</f>
        <v>105.03928000000001</v>
      </c>
      <c r="K250" s="103">
        <f>'[13]Budget Depre'!L5/1000000</f>
        <v>105.03928000000001</v>
      </c>
      <c r="L250" s="103">
        <f>'[13]Budget Depre'!M5/1000000</f>
        <v>105.03928000000001</v>
      </c>
      <c r="M250" s="103">
        <f>'[13]Budget Depre'!N5/1000000</f>
        <v>105.03928000000001</v>
      </c>
      <c r="N250" s="103">
        <f>'[13]Budget Depre'!O5/1000000</f>
        <v>105.03928000000001</v>
      </c>
      <c r="O250" s="103">
        <f>'[13]Budget Depre'!P5/1000000</f>
        <v>105.03928000000001</v>
      </c>
      <c r="P250" s="62">
        <f t="shared" si="83"/>
        <v>1260.4713599999998</v>
      </c>
    </row>
    <row r="251" spans="2:16" x14ac:dyDescent="0.3">
      <c r="C251" s="90" t="s">
        <v>164</v>
      </c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62">
        <f t="shared" si="83"/>
        <v>0</v>
      </c>
    </row>
    <row r="252" spans="2:16" x14ac:dyDescent="0.3">
      <c r="C252" s="90" t="s">
        <v>165</v>
      </c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62">
        <f t="shared" si="83"/>
        <v>0</v>
      </c>
    </row>
    <row r="253" spans="2:16" x14ac:dyDescent="0.3">
      <c r="C253" s="90" t="s">
        <v>166</v>
      </c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62">
        <f t="shared" si="83"/>
        <v>0</v>
      </c>
    </row>
    <row r="254" spans="2:16" x14ac:dyDescent="0.3">
      <c r="C254" s="90" t="s">
        <v>167</v>
      </c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62">
        <f t="shared" si="83"/>
        <v>0</v>
      </c>
    </row>
    <row r="255" spans="2:16" ht="13.5" thickBot="1" x14ac:dyDescent="0.35">
      <c r="C255" s="90" t="s">
        <v>168</v>
      </c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62">
        <f t="shared" si="83"/>
        <v>0</v>
      </c>
    </row>
    <row r="256" spans="2:16" ht="13.5" thickBot="1" x14ac:dyDescent="0.35">
      <c r="B256" s="20"/>
      <c r="C256" s="95" t="s">
        <v>169</v>
      </c>
      <c r="D256" s="93">
        <f t="shared" ref="D256:P256" si="84">SUM(D238:D255)</f>
        <v>129.580116</v>
      </c>
      <c r="E256" s="93">
        <f t="shared" si="84"/>
        <v>129.580116</v>
      </c>
      <c r="F256" s="93">
        <f t="shared" si="84"/>
        <v>129.580116</v>
      </c>
      <c r="G256" s="93">
        <f t="shared" si="84"/>
        <v>130.41344933333335</v>
      </c>
      <c r="H256" s="93">
        <f t="shared" si="84"/>
        <v>130.41344933333335</v>
      </c>
      <c r="I256" s="93">
        <f t="shared" si="84"/>
        <v>130.41344933333335</v>
      </c>
      <c r="J256" s="93">
        <f t="shared" si="84"/>
        <v>130.41344933333335</v>
      </c>
      <c r="K256" s="93">
        <f t="shared" si="84"/>
        <v>130.41344933333335</v>
      </c>
      <c r="L256" s="93">
        <f t="shared" si="84"/>
        <v>130.41344933333335</v>
      </c>
      <c r="M256" s="93">
        <f t="shared" si="84"/>
        <v>130.41344933333335</v>
      </c>
      <c r="N256" s="93">
        <f t="shared" si="84"/>
        <v>130.41344933333335</v>
      </c>
      <c r="O256" s="93">
        <f t="shared" si="84"/>
        <v>130.41344933333335</v>
      </c>
      <c r="P256" s="93">
        <f t="shared" si="84"/>
        <v>1562.4613919999997</v>
      </c>
    </row>
    <row r="257" spans="1:16" x14ac:dyDescent="0.3">
      <c r="C257" s="90" t="s">
        <v>170</v>
      </c>
      <c r="D257" s="62">
        <f>'[8]Budget Upah per cost center'!$C$8/1000000</f>
        <v>313.869102</v>
      </c>
      <c r="E257" s="62">
        <f>D257</f>
        <v>313.869102</v>
      </c>
      <c r="F257" s="62">
        <f t="shared" ref="F257:O257" si="85">E257</f>
        <v>313.869102</v>
      </c>
      <c r="G257" s="62">
        <f t="shared" si="85"/>
        <v>313.869102</v>
      </c>
      <c r="H257" s="62">
        <f t="shared" si="85"/>
        <v>313.869102</v>
      </c>
      <c r="I257" s="62">
        <f t="shared" si="85"/>
        <v>313.869102</v>
      </c>
      <c r="J257" s="62">
        <f t="shared" si="85"/>
        <v>313.869102</v>
      </c>
      <c r="K257" s="62">
        <f t="shared" si="85"/>
        <v>313.869102</v>
      </c>
      <c r="L257" s="62">
        <f t="shared" si="85"/>
        <v>313.869102</v>
      </c>
      <c r="M257" s="62">
        <f t="shared" si="85"/>
        <v>313.869102</v>
      </c>
      <c r="N257" s="62">
        <f t="shared" si="85"/>
        <v>313.869102</v>
      </c>
      <c r="O257" s="62">
        <f t="shared" si="85"/>
        <v>313.869102</v>
      </c>
      <c r="P257" s="62">
        <f t="shared" ref="P257:P270" si="86">D257+E257+F257+G257+H257+I257+J257+K257+L257+M257+N257+O257</f>
        <v>3766.4292240000009</v>
      </c>
    </row>
    <row r="258" spans="1:16" x14ac:dyDescent="0.3">
      <c r="C258" s="90" t="s">
        <v>171</v>
      </c>
      <c r="D258" s="62">
        <f>'[16]LEMBUR MO'!N4/1000000</f>
        <v>0</v>
      </c>
      <c r="E258" s="62">
        <f>'[16]LEMBUR MO'!O4/1000000</f>
        <v>11.799401060157388</v>
      </c>
      <c r="F258" s="62">
        <f>'[16]LEMBUR MO'!P4/1000000</f>
        <v>0</v>
      </c>
      <c r="G258" s="62">
        <f>'[16]LEMBUR MO'!Q4/1000000</f>
        <v>52.728832719152635</v>
      </c>
      <c r="H258" s="62">
        <f>'[16]LEMBUR MO'!R4/1000000</f>
        <v>0</v>
      </c>
      <c r="I258" s="62">
        <f>'[16]LEMBUR MO'!S4/1000000</f>
        <v>10.141477530789063</v>
      </c>
      <c r="J258" s="62">
        <f>'[16]LEMBUR MO'!T4/1000000</f>
        <v>17.307836806032928</v>
      </c>
      <c r="K258" s="62">
        <f>'[16]LEMBUR MO'!U4/1000000</f>
        <v>0</v>
      </c>
      <c r="L258" s="62">
        <f>'[16]LEMBUR MO'!V4/1000000</f>
        <v>5.8334674823024155</v>
      </c>
      <c r="M258" s="62">
        <f>'[16]LEMBUR MO'!W4/1000000</f>
        <v>39.909114478164049</v>
      </c>
      <c r="N258" s="62">
        <f>'[16]LEMBUR MO'!X4/1000000</f>
        <v>0</v>
      </c>
      <c r="O258" s="62">
        <f>'[16]LEMBUR MO'!Y4/1000000</f>
        <v>0</v>
      </c>
      <c r="P258" s="62">
        <f t="shared" si="86"/>
        <v>137.72013007659848</v>
      </c>
    </row>
    <row r="259" spans="1:16" x14ac:dyDescent="0.3">
      <c r="C259" s="90" t="s">
        <v>172</v>
      </c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>
        <f t="shared" si="86"/>
        <v>0</v>
      </c>
    </row>
    <row r="260" spans="1:16" x14ac:dyDescent="0.3">
      <c r="C260" s="90" t="s">
        <v>173</v>
      </c>
      <c r="D260" s="62">
        <f>[7]Sheet3!$G$5/1000000</f>
        <v>12.87059022</v>
      </c>
      <c r="E260" s="62">
        <f>D260</f>
        <v>12.87059022</v>
      </c>
      <c r="F260" s="62">
        <f t="shared" ref="F260:O260" si="87">E260</f>
        <v>12.87059022</v>
      </c>
      <c r="G260" s="62">
        <f t="shared" si="87"/>
        <v>12.87059022</v>
      </c>
      <c r="H260" s="62">
        <f t="shared" si="87"/>
        <v>12.87059022</v>
      </c>
      <c r="I260" s="62">
        <f t="shared" si="87"/>
        <v>12.87059022</v>
      </c>
      <c r="J260" s="62">
        <f t="shared" si="87"/>
        <v>12.87059022</v>
      </c>
      <c r="K260" s="62">
        <f t="shared" si="87"/>
        <v>12.87059022</v>
      </c>
      <c r="L260" s="62">
        <f t="shared" si="87"/>
        <v>12.87059022</v>
      </c>
      <c r="M260" s="62">
        <f t="shared" si="87"/>
        <v>12.87059022</v>
      </c>
      <c r="N260" s="62">
        <f t="shared" si="87"/>
        <v>12.87059022</v>
      </c>
      <c r="O260" s="62">
        <f t="shared" si="87"/>
        <v>12.87059022</v>
      </c>
      <c r="P260" s="62">
        <f t="shared" si="86"/>
        <v>154.44708263999999</v>
      </c>
    </row>
    <row r="261" spans="1:16" x14ac:dyDescent="0.3">
      <c r="C261" s="90" t="s">
        <v>174</v>
      </c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>
        <f t="shared" si="86"/>
        <v>0</v>
      </c>
    </row>
    <row r="262" spans="1:16" x14ac:dyDescent="0.3">
      <c r="C262" s="90" t="s">
        <v>175</v>
      </c>
      <c r="D262" s="62">
        <f>('[8]Budget Upah per cost center'!$D$8/12)/1000000</f>
        <v>26.155758500000001</v>
      </c>
      <c r="E262" s="62">
        <f>D262</f>
        <v>26.155758500000001</v>
      </c>
      <c r="F262" s="62">
        <f t="shared" ref="F262:O263" si="88">E262</f>
        <v>26.155758500000001</v>
      </c>
      <c r="G262" s="62">
        <f t="shared" si="88"/>
        <v>26.155758500000001</v>
      </c>
      <c r="H262" s="62">
        <f t="shared" si="88"/>
        <v>26.155758500000001</v>
      </c>
      <c r="I262" s="62">
        <f t="shared" si="88"/>
        <v>26.155758500000001</v>
      </c>
      <c r="J262" s="62">
        <f t="shared" si="88"/>
        <v>26.155758500000001</v>
      </c>
      <c r="K262" s="62">
        <f t="shared" si="88"/>
        <v>26.155758500000001</v>
      </c>
      <c r="L262" s="62">
        <f t="shared" si="88"/>
        <v>26.155758500000001</v>
      </c>
      <c r="M262" s="62">
        <f t="shared" si="88"/>
        <v>26.155758500000001</v>
      </c>
      <c r="N262" s="62">
        <f t="shared" si="88"/>
        <v>26.155758500000001</v>
      </c>
      <c r="O262" s="62">
        <f t="shared" si="88"/>
        <v>26.155758500000001</v>
      </c>
      <c r="P262" s="62">
        <f t="shared" si="86"/>
        <v>313.86910199999994</v>
      </c>
    </row>
    <row r="263" spans="1:16" ht="13.5" thickBot="1" x14ac:dyDescent="0.35">
      <c r="C263" s="90" t="s">
        <v>176</v>
      </c>
      <c r="D263" s="62">
        <f>[7]Sheet3!$H$5/1000000</f>
        <v>0.9150491850000001</v>
      </c>
      <c r="E263" s="62">
        <f>D263</f>
        <v>0.9150491850000001</v>
      </c>
      <c r="F263" s="62">
        <f t="shared" si="88"/>
        <v>0.9150491850000001</v>
      </c>
      <c r="G263" s="62">
        <f t="shared" si="88"/>
        <v>0.9150491850000001</v>
      </c>
      <c r="H263" s="62">
        <f t="shared" si="88"/>
        <v>0.9150491850000001</v>
      </c>
      <c r="I263" s="62">
        <f t="shared" si="88"/>
        <v>0.9150491850000001</v>
      </c>
      <c r="J263" s="62">
        <f t="shared" si="88"/>
        <v>0.9150491850000001</v>
      </c>
      <c r="K263" s="62">
        <f t="shared" si="88"/>
        <v>0.9150491850000001</v>
      </c>
      <c r="L263" s="62">
        <f t="shared" si="88"/>
        <v>0.9150491850000001</v>
      </c>
      <c r="M263" s="62">
        <f t="shared" si="88"/>
        <v>0.9150491850000001</v>
      </c>
      <c r="N263" s="62">
        <f t="shared" si="88"/>
        <v>0.9150491850000001</v>
      </c>
      <c r="O263" s="62">
        <f t="shared" si="88"/>
        <v>0.9150491850000001</v>
      </c>
      <c r="P263" s="62">
        <f t="shared" si="86"/>
        <v>10.980590220000003</v>
      </c>
    </row>
    <row r="264" spans="1:16" ht="13.5" thickBot="1" x14ac:dyDescent="0.35">
      <c r="B264" s="20"/>
      <c r="C264" s="97" t="s">
        <v>177</v>
      </c>
      <c r="D264" s="98">
        <f t="shared" ref="D264:O264" si="89">SUM(D257:D263)</f>
        <v>353.81049990499997</v>
      </c>
      <c r="E264" s="98">
        <f t="shared" si="89"/>
        <v>365.60990096515735</v>
      </c>
      <c r="F264" s="98">
        <f t="shared" si="89"/>
        <v>353.81049990499997</v>
      </c>
      <c r="G264" s="98">
        <f t="shared" si="89"/>
        <v>406.53933262415262</v>
      </c>
      <c r="H264" s="98">
        <f t="shared" si="89"/>
        <v>353.81049990499997</v>
      </c>
      <c r="I264" s="98">
        <f t="shared" si="89"/>
        <v>363.95197743578905</v>
      </c>
      <c r="J264" s="98">
        <f t="shared" si="89"/>
        <v>371.1183367110329</v>
      </c>
      <c r="K264" s="98">
        <f t="shared" si="89"/>
        <v>353.81049990499997</v>
      </c>
      <c r="L264" s="98">
        <f t="shared" si="89"/>
        <v>359.64396738730238</v>
      </c>
      <c r="M264" s="98">
        <f t="shared" si="89"/>
        <v>393.71961438316401</v>
      </c>
      <c r="N264" s="98">
        <f t="shared" si="89"/>
        <v>353.81049990499997</v>
      </c>
      <c r="O264" s="98">
        <f t="shared" si="89"/>
        <v>353.81049990499997</v>
      </c>
      <c r="P264" s="98">
        <f t="shared" si="86"/>
        <v>4383.4461289365981</v>
      </c>
    </row>
    <row r="265" spans="1:16" x14ac:dyDescent="0.3">
      <c r="B265" s="20"/>
      <c r="C265" s="90" t="s">
        <v>178</v>
      </c>
      <c r="D265" s="62">
        <f>[7]Sheet3!$N$5/1000000</f>
        <v>0.45752459250000005</v>
      </c>
      <c r="E265" s="62">
        <f>D265</f>
        <v>0.45752459250000005</v>
      </c>
      <c r="F265" s="62">
        <f t="shared" ref="F265:O269" si="90">E265</f>
        <v>0.45752459250000005</v>
      </c>
      <c r="G265" s="62">
        <f t="shared" si="90"/>
        <v>0.45752459250000005</v>
      </c>
      <c r="H265" s="62">
        <f t="shared" si="90"/>
        <v>0.45752459250000005</v>
      </c>
      <c r="I265" s="62">
        <f t="shared" si="90"/>
        <v>0.45752459250000005</v>
      </c>
      <c r="J265" s="62">
        <f t="shared" si="90"/>
        <v>0.45752459250000005</v>
      </c>
      <c r="K265" s="62">
        <f t="shared" si="90"/>
        <v>0.45752459250000005</v>
      </c>
      <c r="L265" s="62">
        <f t="shared" si="90"/>
        <v>0.45752459250000005</v>
      </c>
      <c r="M265" s="62">
        <f t="shared" si="90"/>
        <v>0.45752459250000005</v>
      </c>
      <c r="N265" s="62">
        <f t="shared" si="90"/>
        <v>0.45752459250000005</v>
      </c>
      <c r="O265" s="62">
        <f t="shared" si="90"/>
        <v>0.45752459250000005</v>
      </c>
      <c r="P265" s="62">
        <f t="shared" si="86"/>
        <v>5.4902951100000017</v>
      </c>
    </row>
    <row r="266" spans="1:16" x14ac:dyDescent="0.3">
      <c r="B266" s="20"/>
      <c r="C266" s="90" t="s">
        <v>179</v>
      </c>
      <c r="D266" s="62">
        <f>('[9]Budget Benefit per cost center'!$E$8+'[9]Budget Benefit per cost center'!$F$8+'[9]Budget Benefit per cost center'!$G$8)/1000000</f>
        <v>48.222543993000002</v>
      </c>
      <c r="E266" s="62">
        <f>D266</f>
        <v>48.222543993000002</v>
      </c>
      <c r="F266" s="62">
        <f t="shared" si="90"/>
        <v>48.222543993000002</v>
      </c>
      <c r="G266" s="62">
        <f t="shared" si="90"/>
        <v>48.222543993000002</v>
      </c>
      <c r="H266" s="62">
        <f t="shared" si="90"/>
        <v>48.222543993000002</v>
      </c>
      <c r="I266" s="62">
        <f t="shared" si="90"/>
        <v>48.222543993000002</v>
      </c>
      <c r="J266" s="62">
        <f t="shared" si="90"/>
        <v>48.222543993000002</v>
      </c>
      <c r="K266" s="62">
        <f t="shared" si="90"/>
        <v>48.222543993000002</v>
      </c>
      <c r="L266" s="62">
        <f t="shared" si="90"/>
        <v>48.222543993000002</v>
      </c>
      <c r="M266" s="62">
        <f t="shared" si="90"/>
        <v>48.222543993000002</v>
      </c>
      <c r="N266" s="62">
        <f t="shared" si="90"/>
        <v>48.222543993000002</v>
      </c>
      <c r="O266" s="62">
        <f t="shared" si="90"/>
        <v>48.222543993000002</v>
      </c>
      <c r="P266" s="62">
        <f t="shared" si="86"/>
        <v>578.67052791599997</v>
      </c>
    </row>
    <row r="267" spans="1:16" x14ac:dyDescent="0.3">
      <c r="B267" s="20"/>
      <c r="C267" s="90" t="s">
        <v>180</v>
      </c>
      <c r="D267" s="62">
        <f>([7]Sheet3!$I$5+[7]Sheet3!$M$5)/1000000</f>
        <v>0.57103881666666667</v>
      </c>
      <c r="E267" s="62">
        <f>D267</f>
        <v>0.57103881666666667</v>
      </c>
      <c r="F267" s="62">
        <f t="shared" si="90"/>
        <v>0.57103881666666667</v>
      </c>
      <c r="G267" s="62">
        <f t="shared" si="90"/>
        <v>0.57103881666666667</v>
      </c>
      <c r="H267" s="62">
        <f t="shared" si="90"/>
        <v>0.57103881666666667</v>
      </c>
      <c r="I267" s="62">
        <f t="shared" si="90"/>
        <v>0.57103881666666667</v>
      </c>
      <c r="J267" s="62">
        <f t="shared" si="90"/>
        <v>0.57103881666666667</v>
      </c>
      <c r="K267" s="62">
        <f t="shared" si="90"/>
        <v>0.57103881666666667</v>
      </c>
      <c r="L267" s="62">
        <f t="shared" si="90"/>
        <v>0.57103881666666667</v>
      </c>
      <c r="M267" s="62">
        <f t="shared" si="90"/>
        <v>0.57103881666666667</v>
      </c>
      <c r="N267" s="62">
        <f t="shared" si="90"/>
        <v>0.57103881666666667</v>
      </c>
      <c r="O267" s="62">
        <f t="shared" si="90"/>
        <v>0.57103881666666667</v>
      </c>
      <c r="P267" s="62">
        <f t="shared" si="86"/>
        <v>6.8524657999999983</v>
      </c>
    </row>
    <row r="268" spans="1:16" x14ac:dyDescent="0.3">
      <c r="B268" s="20"/>
      <c r="C268" s="90" t="s">
        <v>181</v>
      </c>
      <c r="D268" s="62">
        <f>[7]Sheet3!$L$5/1000000</f>
        <v>0.65883541320000005</v>
      </c>
      <c r="E268" s="62">
        <f>D268</f>
        <v>0.65883541320000005</v>
      </c>
      <c r="F268" s="62">
        <f t="shared" si="90"/>
        <v>0.65883541320000005</v>
      </c>
      <c r="G268" s="62">
        <f t="shared" si="90"/>
        <v>0.65883541320000005</v>
      </c>
      <c r="H268" s="62">
        <f t="shared" si="90"/>
        <v>0.65883541320000005</v>
      </c>
      <c r="I268" s="62">
        <f t="shared" si="90"/>
        <v>0.65883541320000005</v>
      </c>
      <c r="J268" s="62">
        <f t="shared" si="90"/>
        <v>0.65883541320000005</v>
      </c>
      <c r="K268" s="62">
        <f t="shared" si="90"/>
        <v>0.65883541320000005</v>
      </c>
      <c r="L268" s="62">
        <f t="shared" si="90"/>
        <v>0.65883541320000005</v>
      </c>
      <c r="M268" s="62">
        <f t="shared" si="90"/>
        <v>0.65883541320000005</v>
      </c>
      <c r="N268" s="62">
        <f t="shared" si="90"/>
        <v>0.65883541320000005</v>
      </c>
      <c r="O268" s="62">
        <f t="shared" si="90"/>
        <v>0.65883541320000005</v>
      </c>
      <c r="P268" s="62">
        <f t="shared" si="86"/>
        <v>7.9060249584000024</v>
      </c>
    </row>
    <row r="269" spans="1:16" x14ac:dyDescent="0.3">
      <c r="B269" s="20"/>
      <c r="C269" s="90" t="s">
        <v>182</v>
      </c>
      <c r="D269" s="62">
        <f>('[9]Budget Benefit per cost center'!$C$8+('[9]Budget Benefit per cost center'!$D$8/12)+[7]Sheet3!$J$5+[7]Sheet3!$K$5)/1000000</f>
        <v>12.972058333333335</v>
      </c>
      <c r="E269" s="62">
        <f>D269</f>
        <v>12.972058333333335</v>
      </c>
      <c r="F269" s="62">
        <f t="shared" si="90"/>
        <v>12.972058333333335</v>
      </c>
      <c r="G269" s="62">
        <f t="shared" si="90"/>
        <v>12.972058333333335</v>
      </c>
      <c r="H269" s="62">
        <f t="shared" si="90"/>
        <v>12.972058333333335</v>
      </c>
      <c r="I269" s="62">
        <f t="shared" si="90"/>
        <v>12.972058333333335</v>
      </c>
      <c r="J269" s="62">
        <f t="shared" si="90"/>
        <v>12.972058333333335</v>
      </c>
      <c r="K269" s="62">
        <f t="shared" si="90"/>
        <v>12.972058333333335</v>
      </c>
      <c r="L269" s="62">
        <f t="shared" si="90"/>
        <v>12.972058333333335</v>
      </c>
      <c r="M269" s="62">
        <f t="shared" si="90"/>
        <v>12.972058333333335</v>
      </c>
      <c r="N269" s="62">
        <f t="shared" si="90"/>
        <v>12.972058333333335</v>
      </c>
      <c r="O269" s="62">
        <f t="shared" si="90"/>
        <v>12.972058333333335</v>
      </c>
      <c r="P269" s="62">
        <f t="shared" si="86"/>
        <v>155.66470000000001</v>
      </c>
    </row>
    <row r="270" spans="1:16" ht="13.5" thickBot="1" x14ac:dyDescent="0.35">
      <c r="A270" s="20"/>
      <c r="B270" s="20"/>
      <c r="C270" s="99" t="s">
        <v>183</v>
      </c>
      <c r="D270" s="100">
        <f t="shared" ref="D270:O270" si="91">SUM(D265:D269)</f>
        <v>62.882001148700006</v>
      </c>
      <c r="E270" s="100">
        <f t="shared" si="91"/>
        <v>62.882001148700006</v>
      </c>
      <c r="F270" s="100">
        <f t="shared" si="91"/>
        <v>62.882001148700006</v>
      </c>
      <c r="G270" s="100">
        <f t="shared" si="91"/>
        <v>62.882001148700006</v>
      </c>
      <c r="H270" s="100">
        <f t="shared" si="91"/>
        <v>62.882001148700006</v>
      </c>
      <c r="I270" s="100">
        <f t="shared" si="91"/>
        <v>62.882001148700006</v>
      </c>
      <c r="J270" s="100">
        <f t="shared" si="91"/>
        <v>62.882001148700006</v>
      </c>
      <c r="K270" s="100">
        <f t="shared" si="91"/>
        <v>62.882001148700006</v>
      </c>
      <c r="L270" s="100">
        <f t="shared" si="91"/>
        <v>62.882001148700006</v>
      </c>
      <c r="M270" s="100">
        <f t="shared" si="91"/>
        <v>62.882001148700006</v>
      </c>
      <c r="N270" s="100">
        <f t="shared" si="91"/>
        <v>62.882001148700006</v>
      </c>
      <c r="O270" s="100">
        <f t="shared" si="91"/>
        <v>62.882001148700006</v>
      </c>
      <c r="P270" s="100">
        <f t="shared" si="86"/>
        <v>754.58401378440021</v>
      </c>
    </row>
    <row r="271" spans="1:16" ht="13.5" thickBot="1" x14ac:dyDescent="0.35">
      <c r="A271" s="20"/>
      <c r="B271" s="20"/>
      <c r="C271" s="92" t="s">
        <v>184</v>
      </c>
      <c r="D271" s="93">
        <f t="shared" ref="D271:P271" si="92">D236+D256+D264+D270</f>
        <v>11966.545847887382</v>
      </c>
      <c r="E271" s="93">
        <f t="shared" si="92"/>
        <v>13666.809404238609</v>
      </c>
      <c r="F271" s="93">
        <f t="shared" si="92"/>
        <v>13823.737953982174</v>
      </c>
      <c r="G271" s="93">
        <f t="shared" si="92"/>
        <v>13105.834531764685</v>
      </c>
      <c r="H271" s="93">
        <f t="shared" si="92"/>
        <v>15336.836840106955</v>
      </c>
      <c r="I271" s="93">
        <f t="shared" si="92"/>
        <v>15647.89527391447</v>
      </c>
      <c r="J271" s="93">
        <f t="shared" si="92"/>
        <v>20462.442887731806</v>
      </c>
      <c r="K271" s="93">
        <f t="shared" si="92"/>
        <v>18398.914474117624</v>
      </c>
      <c r="L271" s="93">
        <f t="shared" si="92"/>
        <v>18990.85562807964</v>
      </c>
      <c r="M271" s="93">
        <f t="shared" si="92"/>
        <v>22992.09464796837</v>
      </c>
      <c r="N271" s="93">
        <f t="shared" si="92"/>
        <v>19136.865878345525</v>
      </c>
      <c r="O271" s="93">
        <f t="shared" si="92"/>
        <v>17943.122470049857</v>
      </c>
      <c r="P271" s="93">
        <f t="shared" si="92"/>
        <v>201471.95583818707</v>
      </c>
    </row>
    <row r="272" spans="1:16" ht="13.5" thickBot="1" x14ac:dyDescent="0.35">
      <c r="C272" s="118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</row>
    <row r="273" spans="1:16" ht="13.5" thickBot="1" x14ac:dyDescent="0.35">
      <c r="C273" s="119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</row>
    <row r="274" spans="1:16" ht="14" thickTop="1" thickBot="1" x14ac:dyDescent="0.35">
      <c r="C274" s="121" t="s">
        <v>248</v>
      </c>
      <c r="D274" s="122">
        <f>D271+D273</f>
        <v>11966.545847887382</v>
      </c>
      <c r="E274" s="122">
        <f t="shared" ref="E274:P274" si="93">E271+E273</f>
        <v>13666.809404238609</v>
      </c>
      <c r="F274" s="122">
        <f t="shared" si="93"/>
        <v>13823.737953982174</v>
      </c>
      <c r="G274" s="122">
        <f t="shared" si="93"/>
        <v>13105.834531764685</v>
      </c>
      <c r="H274" s="122">
        <f t="shared" si="93"/>
        <v>15336.836840106955</v>
      </c>
      <c r="I274" s="122">
        <f t="shared" si="93"/>
        <v>15647.89527391447</v>
      </c>
      <c r="J274" s="122">
        <f t="shared" si="93"/>
        <v>20462.442887731806</v>
      </c>
      <c r="K274" s="122">
        <f t="shared" si="93"/>
        <v>18398.914474117624</v>
      </c>
      <c r="L274" s="122">
        <f t="shared" si="93"/>
        <v>18990.85562807964</v>
      </c>
      <c r="M274" s="122">
        <f t="shared" si="93"/>
        <v>22992.09464796837</v>
      </c>
      <c r="N274" s="122">
        <f t="shared" si="93"/>
        <v>19136.865878345525</v>
      </c>
      <c r="O274" s="122">
        <f t="shared" si="93"/>
        <v>17943.122470049857</v>
      </c>
      <c r="P274" s="122">
        <f t="shared" si="93"/>
        <v>201471.95583818707</v>
      </c>
    </row>
    <row r="275" spans="1:16" ht="13.5" thickTop="1" x14ac:dyDescent="0.3">
      <c r="C275" s="123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124"/>
      <c r="P275" s="124"/>
    </row>
    <row r="276" spans="1:16" x14ac:dyDescent="0.3">
      <c r="C276" s="125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</row>
    <row r="277" spans="1:16" ht="13.5" thickBot="1" x14ac:dyDescent="0.35">
      <c r="C277" s="66" t="s">
        <v>249</v>
      </c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</row>
    <row r="278" spans="1:16" ht="13.5" customHeight="1" thickBot="1" x14ac:dyDescent="0.35">
      <c r="C278" s="23" t="s">
        <v>69</v>
      </c>
      <c r="D278" s="24" t="s">
        <v>70</v>
      </c>
      <c r="E278" s="24" t="s">
        <v>71</v>
      </c>
      <c r="F278" s="24" t="s">
        <v>72</v>
      </c>
      <c r="G278" s="24" t="s">
        <v>73</v>
      </c>
      <c r="H278" s="24" t="s">
        <v>74</v>
      </c>
      <c r="I278" s="24" t="s">
        <v>75</v>
      </c>
      <c r="J278" s="24" t="s">
        <v>76</v>
      </c>
      <c r="K278" s="24" t="s">
        <v>77</v>
      </c>
      <c r="L278" s="24" t="s">
        <v>78</v>
      </c>
      <c r="M278" s="24" t="s">
        <v>79</v>
      </c>
      <c r="N278" s="24" t="s">
        <v>80</v>
      </c>
      <c r="O278" s="24" t="s">
        <v>81</v>
      </c>
      <c r="P278" s="25" t="s">
        <v>110</v>
      </c>
    </row>
    <row r="279" spans="1:16" ht="13.5" thickBot="1" x14ac:dyDescent="0.35">
      <c r="C279" s="116" t="s">
        <v>247</v>
      </c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3">
      <c r="C280" s="86"/>
      <c r="D280" s="87"/>
      <c r="E280" s="88"/>
      <c r="F280" s="89"/>
      <c r="G280" s="89"/>
      <c r="H280" s="89"/>
      <c r="I280" s="89"/>
      <c r="J280" s="89"/>
      <c r="K280" s="89"/>
      <c r="L280" s="87"/>
      <c r="M280" s="89"/>
      <c r="N280" s="89"/>
      <c r="O280" s="89"/>
      <c r="P280" s="89"/>
    </row>
    <row r="281" spans="1:16" x14ac:dyDescent="0.3">
      <c r="C281" s="90" t="s">
        <v>147</v>
      </c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>
        <f t="shared" ref="P281:P283" si="94">D281+E281+F281+G281+H281+I281+J281+K281+L281+M281+N281+O281</f>
        <v>0</v>
      </c>
    </row>
    <row r="282" spans="1:16" x14ac:dyDescent="0.3">
      <c r="C282" s="33" t="s">
        <v>148</v>
      </c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>
        <f t="shared" si="94"/>
        <v>0</v>
      </c>
    </row>
    <row r="283" spans="1:16" x14ac:dyDescent="0.3">
      <c r="C283" s="90" t="s">
        <v>149</v>
      </c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>
        <f t="shared" si="94"/>
        <v>0</v>
      </c>
    </row>
    <row r="284" spans="1:16" ht="13.5" thickBot="1" x14ac:dyDescent="0.35">
      <c r="C284" s="90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</row>
    <row r="285" spans="1:16" ht="13.5" thickBot="1" x14ac:dyDescent="0.35">
      <c r="A285" s="20"/>
      <c r="B285" s="20"/>
      <c r="C285" s="92" t="s">
        <v>150</v>
      </c>
      <c r="D285" s="93">
        <f t="shared" ref="D285:P285" si="95">SUM(D281:D284)</f>
        <v>0</v>
      </c>
      <c r="E285" s="93">
        <f t="shared" si="95"/>
        <v>0</v>
      </c>
      <c r="F285" s="93">
        <f t="shared" si="95"/>
        <v>0</v>
      </c>
      <c r="G285" s="93">
        <f t="shared" si="95"/>
        <v>0</v>
      </c>
      <c r="H285" s="93">
        <f t="shared" si="95"/>
        <v>0</v>
      </c>
      <c r="I285" s="93">
        <f t="shared" si="95"/>
        <v>0</v>
      </c>
      <c r="J285" s="93">
        <f t="shared" si="95"/>
        <v>0</v>
      </c>
      <c r="K285" s="93">
        <f t="shared" si="95"/>
        <v>0</v>
      </c>
      <c r="L285" s="93">
        <f t="shared" si="95"/>
        <v>0</v>
      </c>
      <c r="M285" s="93">
        <f t="shared" si="95"/>
        <v>0</v>
      </c>
      <c r="N285" s="93">
        <f t="shared" si="95"/>
        <v>0</v>
      </c>
      <c r="O285" s="93">
        <f t="shared" si="95"/>
        <v>0</v>
      </c>
      <c r="P285" s="93">
        <f t="shared" si="95"/>
        <v>0</v>
      </c>
    </row>
    <row r="286" spans="1:16" x14ac:dyDescent="0.3">
      <c r="C286" s="94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43"/>
    </row>
    <row r="287" spans="1:16" x14ac:dyDescent="0.3">
      <c r="C287" s="90" t="s">
        <v>151</v>
      </c>
      <c r="D287" s="103">
        <f>[15]Sheet1!D274/1000000</f>
        <v>0</v>
      </c>
      <c r="E287" s="103">
        <f>[15]Sheet1!E274/1000000</f>
        <v>0</v>
      </c>
      <c r="F287" s="103">
        <f>[15]Sheet1!F274/1000000</f>
        <v>0</v>
      </c>
      <c r="G287" s="103">
        <f>[15]Sheet1!G274/1000000</f>
        <v>0</v>
      </c>
      <c r="H287" s="103">
        <f>[15]Sheet1!H274/1000000</f>
        <v>0</v>
      </c>
      <c r="I287" s="103">
        <f>[15]Sheet1!I274/1000000</f>
        <v>0</v>
      </c>
      <c r="J287" s="103">
        <f>[15]Sheet1!J274/1000000</f>
        <v>0</v>
      </c>
      <c r="K287" s="103">
        <f>[15]Sheet1!K274/1000000</f>
        <v>0</v>
      </c>
      <c r="L287" s="103">
        <f>[15]Sheet1!L274/1000000</f>
        <v>0</v>
      </c>
      <c r="M287" s="103">
        <f>[15]Sheet1!M274/1000000</f>
        <v>0</v>
      </c>
      <c r="N287" s="103">
        <f>[15]Sheet1!N274/1000000</f>
        <v>0</v>
      </c>
      <c r="O287" s="103">
        <f>[15]Sheet1!O274/1000000</f>
        <v>0</v>
      </c>
      <c r="P287" s="62">
        <f t="shared" ref="P287:P304" si="96">D287+E287+F287+G287+H287+I287+J287+K287+L287+M287+N287+O287</f>
        <v>0</v>
      </c>
    </row>
    <row r="288" spans="1:16" x14ac:dyDescent="0.3">
      <c r="C288" s="90" t="s">
        <v>152</v>
      </c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62">
        <f t="shared" si="96"/>
        <v>0</v>
      </c>
    </row>
    <row r="289" spans="2:16" x14ac:dyDescent="0.3">
      <c r="C289" s="90" t="s">
        <v>153</v>
      </c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62">
        <f t="shared" si="96"/>
        <v>0</v>
      </c>
    </row>
    <row r="290" spans="2:16" x14ac:dyDescent="0.3">
      <c r="C290" s="90" t="s">
        <v>154</v>
      </c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62">
        <f t="shared" si="96"/>
        <v>0</v>
      </c>
    </row>
    <row r="291" spans="2:16" x14ac:dyDescent="0.3">
      <c r="C291" s="90" t="s">
        <v>155</v>
      </c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62">
        <f t="shared" si="96"/>
        <v>0</v>
      </c>
    </row>
    <row r="292" spans="2:16" x14ac:dyDescent="0.3">
      <c r="C292" s="90" t="s">
        <v>156</v>
      </c>
      <c r="D292" s="103">
        <f>[15]Sheet1!D279/1000000</f>
        <v>0</v>
      </c>
      <c r="E292" s="103">
        <f>[15]Sheet1!E279/1000000</f>
        <v>0</v>
      </c>
      <c r="F292" s="103">
        <f>[15]Sheet1!F279/1000000</f>
        <v>0</v>
      </c>
      <c r="G292" s="103">
        <f>[15]Sheet1!G279/1000000</f>
        <v>0</v>
      </c>
      <c r="H292" s="103">
        <f>[15]Sheet1!H279/1000000</f>
        <v>0</v>
      </c>
      <c r="I292" s="103">
        <f>[15]Sheet1!I279/1000000</f>
        <v>0</v>
      </c>
      <c r="J292" s="103">
        <f>[15]Sheet1!J279/1000000</f>
        <v>0</v>
      </c>
      <c r="K292" s="103">
        <f>[15]Sheet1!K279/1000000</f>
        <v>0</v>
      </c>
      <c r="L292" s="103">
        <f>[15]Sheet1!L279/1000000</f>
        <v>0</v>
      </c>
      <c r="M292" s="103">
        <f>[15]Sheet1!M279/1000000</f>
        <v>0</v>
      </c>
      <c r="N292" s="103">
        <f>[15]Sheet1!N279/1000000</f>
        <v>0</v>
      </c>
      <c r="O292" s="103">
        <f>[15]Sheet1!O279/1000000</f>
        <v>0</v>
      </c>
      <c r="P292" s="62">
        <f t="shared" si="96"/>
        <v>0</v>
      </c>
    </row>
    <row r="293" spans="2:16" x14ac:dyDescent="0.3">
      <c r="C293" s="90" t="s">
        <v>157</v>
      </c>
      <c r="D293" s="103">
        <f>[15]Sheet1!D280/1000000</f>
        <v>0</v>
      </c>
      <c r="E293" s="103">
        <f>[15]Sheet1!E280/1000000</f>
        <v>0</v>
      </c>
      <c r="F293" s="103">
        <f>[15]Sheet1!F280/1000000</f>
        <v>0</v>
      </c>
      <c r="G293" s="103">
        <f>[15]Sheet1!G280/1000000</f>
        <v>0</v>
      </c>
      <c r="H293" s="103">
        <f>[15]Sheet1!H280/1000000</f>
        <v>0</v>
      </c>
      <c r="I293" s="103">
        <f>[15]Sheet1!I280/1000000</f>
        <v>0</v>
      </c>
      <c r="J293" s="103">
        <f>[15]Sheet1!J280/1000000</f>
        <v>0</v>
      </c>
      <c r="K293" s="103">
        <f>[15]Sheet1!K280/1000000</f>
        <v>0</v>
      </c>
      <c r="L293" s="103">
        <f>[15]Sheet1!L280/1000000</f>
        <v>0</v>
      </c>
      <c r="M293" s="103">
        <f>[15]Sheet1!M280/1000000</f>
        <v>0</v>
      </c>
      <c r="N293" s="103">
        <f>[15]Sheet1!N280/1000000</f>
        <v>0</v>
      </c>
      <c r="O293" s="103">
        <f>[15]Sheet1!O280/1000000</f>
        <v>0</v>
      </c>
      <c r="P293" s="62">
        <f t="shared" si="96"/>
        <v>0</v>
      </c>
    </row>
    <row r="294" spans="2:16" x14ac:dyDescent="0.3">
      <c r="B294" s="20"/>
      <c r="C294" s="90" t="s">
        <v>158</v>
      </c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62">
        <f t="shared" si="96"/>
        <v>0</v>
      </c>
    </row>
    <row r="295" spans="2:16" x14ac:dyDescent="0.3">
      <c r="C295" s="90" t="s">
        <v>159</v>
      </c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62">
        <f t="shared" si="96"/>
        <v>0</v>
      </c>
    </row>
    <row r="296" spans="2:16" x14ac:dyDescent="0.3">
      <c r="C296" s="90" t="s">
        <v>160</v>
      </c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62">
        <f t="shared" si="96"/>
        <v>0</v>
      </c>
    </row>
    <row r="297" spans="2:16" x14ac:dyDescent="0.3">
      <c r="C297" s="90" t="s">
        <v>161</v>
      </c>
      <c r="D297" s="103">
        <f>'[13]Budget Depre'!E7/1000000</f>
        <v>0</v>
      </c>
      <c r="E297" s="103">
        <f>'[13]Budget Depre'!F7/1000000</f>
        <v>0</v>
      </c>
      <c r="F297" s="103">
        <f>'[13]Budget Depre'!G7/1000000</f>
        <v>0</v>
      </c>
      <c r="G297" s="103">
        <f>'[13]Budget Depre'!H7/1000000</f>
        <v>0</v>
      </c>
      <c r="H297" s="103">
        <f>'[13]Budget Depre'!I7/1000000</f>
        <v>0</v>
      </c>
      <c r="I297" s="103">
        <f>'[13]Budget Depre'!J7/1000000</f>
        <v>0</v>
      </c>
      <c r="J297" s="103">
        <f>'[13]Budget Depre'!K7/1000000</f>
        <v>0</v>
      </c>
      <c r="K297" s="103">
        <f>'[13]Budget Depre'!L7/1000000</f>
        <v>0</v>
      </c>
      <c r="L297" s="103">
        <f>'[13]Budget Depre'!M7/1000000</f>
        <v>0</v>
      </c>
      <c r="M297" s="103">
        <f>'[13]Budget Depre'!N7/1000000</f>
        <v>0</v>
      </c>
      <c r="N297" s="103">
        <f>'[13]Budget Depre'!O7/1000000</f>
        <v>0</v>
      </c>
      <c r="O297" s="103">
        <f>'[13]Budget Depre'!P7/1000000</f>
        <v>0</v>
      </c>
      <c r="P297" s="62">
        <f t="shared" si="96"/>
        <v>0</v>
      </c>
    </row>
    <row r="298" spans="2:16" x14ac:dyDescent="0.3">
      <c r="C298" s="90" t="s">
        <v>162</v>
      </c>
      <c r="D298" s="103">
        <f>'[13]Budget Depre'!E8/1000000</f>
        <v>49.101511333333335</v>
      </c>
      <c r="E298" s="103">
        <f>'[13]Budget Depre'!F8/1000000</f>
        <v>50.934844666666663</v>
      </c>
      <c r="F298" s="103">
        <f>'[13]Budget Depre'!G8/1000000</f>
        <v>56.768177999999999</v>
      </c>
      <c r="G298" s="103">
        <f>'[13]Budget Depre'!H8/1000000</f>
        <v>56.768177999999999</v>
      </c>
      <c r="H298" s="103">
        <f>'[13]Budget Depre'!I8/1000000</f>
        <v>56.768177999999999</v>
      </c>
      <c r="I298" s="103">
        <f>'[13]Budget Depre'!J8/1000000</f>
        <v>56.768177999999999</v>
      </c>
      <c r="J298" s="103">
        <f>'[13]Budget Depre'!K8/1000000</f>
        <v>56.768177999999999</v>
      </c>
      <c r="K298" s="103">
        <f>'[13]Budget Depre'!L8/1000000</f>
        <v>61.768177999999999</v>
      </c>
      <c r="L298" s="103">
        <f>'[13]Budget Depre'!M8/1000000</f>
        <v>61.768177999999999</v>
      </c>
      <c r="M298" s="103">
        <f>'[13]Budget Depre'!N8/1000000</f>
        <v>61.768177999999999</v>
      </c>
      <c r="N298" s="103">
        <f>'[13]Budget Depre'!O8/1000000</f>
        <v>61.768177999999999</v>
      </c>
      <c r="O298" s="103">
        <f>'[13]Budget Depre'!P8/1000000</f>
        <v>61.768177999999999</v>
      </c>
      <c r="P298" s="62">
        <f t="shared" si="96"/>
        <v>692.71813599999996</v>
      </c>
    </row>
    <row r="299" spans="2:16" x14ac:dyDescent="0.3">
      <c r="C299" s="90" t="s">
        <v>163</v>
      </c>
      <c r="D299" s="103">
        <f>'[13]Budget Depre'!E9/1000000</f>
        <v>10.374457</v>
      </c>
      <c r="E299" s="103">
        <f>'[13]Budget Depre'!F9/1000000</f>
        <v>10.374457</v>
      </c>
      <c r="F299" s="103">
        <f>'[13]Budget Depre'!G9/1000000</f>
        <v>10.374457</v>
      </c>
      <c r="G299" s="103">
        <f>'[13]Budget Depre'!H9/1000000</f>
        <v>10.374457</v>
      </c>
      <c r="H299" s="103">
        <f>'[13]Budget Depre'!I9/1000000</f>
        <v>10.374457</v>
      </c>
      <c r="I299" s="103">
        <f>'[13]Budget Depre'!J9/1000000</f>
        <v>10.374457</v>
      </c>
      <c r="J299" s="103">
        <f>'[13]Budget Depre'!K9/1000000</f>
        <v>10.374457</v>
      </c>
      <c r="K299" s="103">
        <f>'[13]Budget Depre'!L9/1000000</f>
        <v>10.374457</v>
      </c>
      <c r="L299" s="103">
        <f>'[13]Budget Depre'!M9/1000000</f>
        <v>10.374457</v>
      </c>
      <c r="M299" s="103">
        <f>'[13]Budget Depre'!N9/1000000</f>
        <v>10.374457</v>
      </c>
      <c r="N299" s="103">
        <f>'[13]Budget Depre'!O9/1000000</f>
        <v>10.374457</v>
      </c>
      <c r="O299" s="103">
        <f>'[13]Budget Depre'!P9/1000000</f>
        <v>10.374457</v>
      </c>
      <c r="P299" s="62">
        <f t="shared" si="96"/>
        <v>124.49348400000002</v>
      </c>
    </row>
    <row r="300" spans="2:16" x14ac:dyDescent="0.3">
      <c r="C300" s="90" t="s">
        <v>164</v>
      </c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62">
        <f t="shared" si="96"/>
        <v>0</v>
      </c>
    </row>
    <row r="301" spans="2:16" x14ac:dyDescent="0.3">
      <c r="C301" s="90" t="s">
        <v>165</v>
      </c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62">
        <f t="shared" si="96"/>
        <v>0</v>
      </c>
    </row>
    <row r="302" spans="2:16" x14ac:dyDescent="0.3">
      <c r="C302" s="90" t="s">
        <v>166</v>
      </c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62">
        <f t="shared" si="96"/>
        <v>0</v>
      </c>
    </row>
    <row r="303" spans="2:16" x14ac:dyDescent="0.3">
      <c r="C303" s="90" t="s">
        <v>167</v>
      </c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62">
        <f t="shared" si="96"/>
        <v>0</v>
      </c>
    </row>
    <row r="304" spans="2:16" ht="13.5" thickBot="1" x14ac:dyDescent="0.35">
      <c r="C304" s="90" t="s">
        <v>168</v>
      </c>
      <c r="D304" s="103">
        <f>'[10]GA EXPENSE'!D54/1000</f>
        <v>23.25</v>
      </c>
      <c r="E304" s="103">
        <f>'[10]GA EXPENSE'!E54/1000</f>
        <v>23.25</v>
      </c>
      <c r="F304" s="103">
        <f>'[10]GA EXPENSE'!F54/1000</f>
        <v>23.25</v>
      </c>
      <c r="G304" s="103">
        <f>'[10]GA EXPENSE'!G54/1000</f>
        <v>23.25</v>
      </c>
      <c r="H304" s="103">
        <f>'[10]GA EXPENSE'!H54/1000</f>
        <v>23.25</v>
      </c>
      <c r="I304" s="103">
        <f>'[10]GA EXPENSE'!I54/1000</f>
        <v>23.25</v>
      </c>
      <c r="J304" s="103">
        <f>'[10]GA EXPENSE'!J54/1000</f>
        <v>23.25</v>
      </c>
      <c r="K304" s="103">
        <f>'[10]GA EXPENSE'!K54/1000</f>
        <v>23.25</v>
      </c>
      <c r="L304" s="103">
        <f>'[10]GA EXPENSE'!L54/1000</f>
        <v>23.25</v>
      </c>
      <c r="M304" s="103">
        <f>'[10]GA EXPENSE'!M54/1000</f>
        <v>23.25</v>
      </c>
      <c r="N304" s="103">
        <f>'[10]GA EXPENSE'!N54/1000</f>
        <v>23.25</v>
      </c>
      <c r="O304" s="103">
        <f>'[10]GA EXPENSE'!O54/1000</f>
        <v>23.25</v>
      </c>
      <c r="P304" s="62">
        <f t="shared" si="96"/>
        <v>279</v>
      </c>
    </row>
    <row r="305" spans="1:16" ht="13.5" thickBot="1" x14ac:dyDescent="0.35">
      <c r="B305" s="20"/>
      <c r="C305" s="95" t="s">
        <v>169</v>
      </c>
      <c r="D305" s="93">
        <f t="shared" ref="D305:P305" si="97">SUM(D287:D304)</f>
        <v>82.725968333333327</v>
      </c>
      <c r="E305" s="93">
        <f t="shared" si="97"/>
        <v>84.55930166666667</v>
      </c>
      <c r="F305" s="93">
        <f t="shared" si="97"/>
        <v>90.392634999999999</v>
      </c>
      <c r="G305" s="93">
        <f t="shared" si="97"/>
        <v>90.392634999999999</v>
      </c>
      <c r="H305" s="93">
        <f t="shared" si="97"/>
        <v>90.392634999999999</v>
      </c>
      <c r="I305" s="93">
        <f t="shared" si="97"/>
        <v>90.392634999999999</v>
      </c>
      <c r="J305" s="93">
        <f t="shared" si="97"/>
        <v>90.392634999999999</v>
      </c>
      <c r="K305" s="93">
        <f t="shared" si="97"/>
        <v>95.392634999999999</v>
      </c>
      <c r="L305" s="93">
        <f t="shared" si="97"/>
        <v>95.392634999999999</v>
      </c>
      <c r="M305" s="93">
        <f t="shared" si="97"/>
        <v>95.392634999999999</v>
      </c>
      <c r="N305" s="93">
        <f t="shared" si="97"/>
        <v>95.392634999999999</v>
      </c>
      <c r="O305" s="93">
        <f t="shared" si="97"/>
        <v>95.392634999999999</v>
      </c>
      <c r="P305" s="93">
        <f t="shared" si="97"/>
        <v>1096.21162</v>
      </c>
    </row>
    <row r="306" spans="1:16" x14ac:dyDescent="0.3">
      <c r="C306" s="90" t="s">
        <v>170</v>
      </c>
      <c r="D306" s="62">
        <f>'[8]Budget Upah per cost center'!$C$9/1000000</f>
        <v>177.53125299999999</v>
      </c>
      <c r="E306" s="62">
        <f>D306</f>
        <v>177.53125299999999</v>
      </c>
      <c r="F306" s="62">
        <f t="shared" ref="F306:O306" si="98">E306</f>
        <v>177.53125299999999</v>
      </c>
      <c r="G306" s="62">
        <f t="shared" si="98"/>
        <v>177.53125299999999</v>
      </c>
      <c r="H306" s="62">
        <f t="shared" si="98"/>
        <v>177.53125299999999</v>
      </c>
      <c r="I306" s="62">
        <f t="shared" si="98"/>
        <v>177.53125299999999</v>
      </c>
      <c r="J306" s="62">
        <f t="shared" si="98"/>
        <v>177.53125299999999</v>
      </c>
      <c r="K306" s="62">
        <f t="shared" si="98"/>
        <v>177.53125299999999</v>
      </c>
      <c r="L306" s="62">
        <f t="shared" si="98"/>
        <v>177.53125299999999</v>
      </c>
      <c r="M306" s="62">
        <f t="shared" si="98"/>
        <v>177.53125299999999</v>
      </c>
      <c r="N306" s="62">
        <f t="shared" si="98"/>
        <v>177.53125299999999</v>
      </c>
      <c r="O306" s="62">
        <f t="shared" si="98"/>
        <v>177.53125299999999</v>
      </c>
      <c r="P306" s="62">
        <f t="shared" ref="P306:P319" si="99">D306+E306+F306+G306+H306+I306+J306+K306+L306+M306+N306+O306</f>
        <v>2130.3750360000004</v>
      </c>
    </row>
    <row r="307" spans="1:16" x14ac:dyDescent="0.3">
      <c r="C307" s="90" t="s">
        <v>171</v>
      </c>
      <c r="D307" s="62">
        <f>'[16]LEMBUR MO'!N5/1000000</f>
        <v>0</v>
      </c>
      <c r="E307" s="62">
        <f>'[16]LEMBUR MO'!O5/1000000</f>
        <v>12.325557497192529</v>
      </c>
      <c r="F307" s="62">
        <f>'[16]LEMBUR MO'!P5/1000000</f>
        <v>11.620889441674599</v>
      </c>
      <c r="G307" s="62">
        <f>'[16]LEMBUR MO'!Q5/1000000</f>
        <v>4.8410286515789567</v>
      </c>
      <c r="H307" s="62">
        <f>'[16]LEMBUR MO'!R5/1000000</f>
        <v>0</v>
      </c>
      <c r="I307" s="62">
        <f>'[16]LEMBUR MO'!S5/1000000</f>
        <v>25.622929933619648</v>
      </c>
      <c r="J307" s="62">
        <f>'[16]LEMBUR MO'!T5/1000000</f>
        <v>31.701884532478289</v>
      </c>
      <c r="K307" s="62">
        <f>'[16]LEMBUR MO'!U5/1000000</f>
        <v>12.717643253847385</v>
      </c>
      <c r="L307" s="62">
        <f>'[16]LEMBUR MO'!V5/1000000</f>
        <v>16.88463714009109</v>
      </c>
      <c r="M307" s="62">
        <f>'[16]LEMBUR MO'!W5/1000000</f>
        <v>27.856993446685884</v>
      </c>
      <c r="N307" s="62">
        <f>'[16]LEMBUR MO'!X5/1000000</f>
        <v>36.066124139523282</v>
      </c>
      <c r="O307" s="62">
        <f>'[16]LEMBUR MO'!Y5/1000000</f>
        <v>30.847450655947508</v>
      </c>
      <c r="P307" s="62">
        <f t="shared" si="99"/>
        <v>210.48513869263917</v>
      </c>
    </row>
    <row r="308" spans="1:16" x14ac:dyDescent="0.3">
      <c r="C308" s="90" t="s">
        <v>172</v>
      </c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>
        <f t="shared" si="99"/>
        <v>0</v>
      </c>
    </row>
    <row r="309" spans="1:16" x14ac:dyDescent="0.3">
      <c r="C309" s="90" t="s">
        <v>173</v>
      </c>
      <c r="D309" s="62">
        <f>[7]Sheet3!$G$6/1000000</f>
        <v>6.0802951100000007</v>
      </c>
      <c r="E309" s="62">
        <f>D309</f>
        <v>6.0802951100000007</v>
      </c>
      <c r="F309" s="62">
        <f t="shared" ref="F309:O309" si="100">E309</f>
        <v>6.0802951100000007</v>
      </c>
      <c r="G309" s="62">
        <f t="shared" si="100"/>
        <v>6.0802951100000007</v>
      </c>
      <c r="H309" s="62">
        <f t="shared" si="100"/>
        <v>6.0802951100000007</v>
      </c>
      <c r="I309" s="62">
        <f t="shared" si="100"/>
        <v>6.0802951100000007</v>
      </c>
      <c r="J309" s="62">
        <f t="shared" si="100"/>
        <v>6.0802951100000007</v>
      </c>
      <c r="K309" s="62">
        <f t="shared" si="100"/>
        <v>6.0802951100000007</v>
      </c>
      <c r="L309" s="62">
        <f t="shared" si="100"/>
        <v>6.0802951100000007</v>
      </c>
      <c r="M309" s="62">
        <f t="shared" si="100"/>
        <v>6.0802951100000007</v>
      </c>
      <c r="N309" s="62">
        <f t="shared" si="100"/>
        <v>6.0802951100000007</v>
      </c>
      <c r="O309" s="62">
        <f t="shared" si="100"/>
        <v>6.0802951100000007</v>
      </c>
      <c r="P309" s="62">
        <f t="shared" si="99"/>
        <v>72.963541320000004</v>
      </c>
    </row>
    <row r="310" spans="1:16" x14ac:dyDescent="0.3">
      <c r="C310" s="90" t="s">
        <v>174</v>
      </c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>
        <f t="shared" si="99"/>
        <v>0</v>
      </c>
    </row>
    <row r="311" spans="1:16" x14ac:dyDescent="0.3">
      <c r="C311" s="90" t="s">
        <v>175</v>
      </c>
      <c r="D311" s="62">
        <f>('[8]Budget Upah per cost center'!$D$9/1000000)/12</f>
        <v>14.794271083333333</v>
      </c>
      <c r="E311" s="62">
        <f>D311</f>
        <v>14.794271083333333</v>
      </c>
      <c r="F311" s="62">
        <f t="shared" ref="F311:O312" si="101">E311</f>
        <v>14.794271083333333</v>
      </c>
      <c r="G311" s="62">
        <f t="shared" si="101"/>
        <v>14.794271083333333</v>
      </c>
      <c r="H311" s="62">
        <f t="shared" si="101"/>
        <v>14.794271083333333</v>
      </c>
      <c r="I311" s="62">
        <f t="shared" si="101"/>
        <v>14.794271083333333</v>
      </c>
      <c r="J311" s="62">
        <f t="shared" si="101"/>
        <v>14.794271083333333</v>
      </c>
      <c r="K311" s="62">
        <f t="shared" si="101"/>
        <v>14.794271083333333</v>
      </c>
      <c r="L311" s="62">
        <f t="shared" si="101"/>
        <v>14.794271083333333</v>
      </c>
      <c r="M311" s="62">
        <f t="shared" si="101"/>
        <v>14.794271083333333</v>
      </c>
      <c r="N311" s="62">
        <f t="shared" si="101"/>
        <v>14.794271083333333</v>
      </c>
      <c r="O311" s="62">
        <f t="shared" si="101"/>
        <v>14.794271083333333</v>
      </c>
      <c r="P311" s="62">
        <f t="shared" si="99"/>
        <v>177.53125300000002</v>
      </c>
    </row>
    <row r="312" spans="1:16" ht="13.5" thickBot="1" x14ac:dyDescent="0.35">
      <c r="C312" s="90" t="s">
        <v>176</v>
      </c>
      <c r="D312" s="62">
        <f>[7]Sheet3!$H$6/1000000</f>
        <v>0.4279412591666667</v>
      </c>
      <c r="E312" s="62">
        <f>D312</f>
        <v>0.4279412591666667</v>
      </c>
      <c r="F312" s="62">
        <f t="shared" si="101"/>
        <v>0.4279412591666667</v>
      </c>
      <c r="G312" s="62">
        <f t="shared" si="101"/>
        <v>0.4279412591666667</v>
      </c>
      <c r="H312" s="62">
        <f t="shared" si="101"/>
        <v>0.4279412591666667</v>
      </c>
      <c r="I312" s="62">
        <f t="shared" si="101"/>
        <v>0.4279412591666667</v>
      </c>
      <c r="J312" s="62">
        <f t="shared" si="101"/>
        <v>0.4279412591666667</v>
      </c>
      <c r="K312" s="62">
        <f t="shared" si="101"/>
        <v>0.4279412591666667</v>
      </c>
      <c r="L312" s="62">
        <f t="shared" si="101"/>
        <v>0.4279412591666667</v>
      </c>
      <c r="M312" s="62">
        <f t="shared" si="101"/>
        <v>0.4279412591666667</v>
      </c>
      <c r="N312" s="62">
        <f t="shared" si="101"/>
        <v>0.4279412591666667</v>
      </c>
      <c r="O312" s="62">
        <f t="shared" si="101"/>
        <v>0.4279412591666667</v>
      </c>
      <c r="P312" s="62">
        <f t="shared" si="99"/>
        <v>5.1352951099999986</v>
      </c>
    </row>
    <row r="313" spans="1:16" ht="13.5" thickBot="1" x14ac:dyDescent="0.35">
      <c r="B313" s="20"/>
      <c r="C313" s="97" t="s">
        <v>177</v>
      </c>
      <c r="D313" s="98">
        <f t="shared" ref="D313:O313" si="102">SUM(D306:D312)</f>
        <v>198.8337604525</v>
      </c>
      <c r="E313" s="98">
        <f t="shared" si="102"/>
        <v>211.15931794969254</v>
      </c>
      <c r="F313" s="98">
        <f t="shared" si="102"/>
        <v>210.45464989417459</v>
      </c>
      <c r="G313" s="98">
        <f t="shared" si="102"/>
        <v>203.67478910407897</v>
      </c>
      <c r="H313" s="98">
        <f t="shared" si="102"/>
        <v>198.8337604525</v>
      </c>
      <c r="I313" s="98">
        <f t="shared" si="102"/>
        <v>224.45669038611965</v>
      </c>
      <c r="J313" s="98">
        <f t="shared" si="102"/>
        <v>230.53564498497829</v>
      </c>
      <c r="K313" s="98">
        <f t="shared" si="102"/>
        <v>211.55140370634737</v>
      </c>
      <c r="L313" s="98">
        <f t="shared" si="102"/>
        <v>215.71839759259109</v>
      </c>
      <c r="M313" s="98">
        <f t="shared" si="102"/>
        <v>226.69075389918589</v>
      </c>
      <c r="N313" s="98">
        <f t="shared" si="102"/>
        <v>234.89988459202328</v>
      </c>
      <c r="O313" s="98">
        <f t="shared" si="102"/>
        <v>229.68121110844751</v>
      </c>
      <c r="P313" s="98">
        <f t="shared" si="99"/>
        <v>2596.490264122639</v>
      </c>
    </row>
    <row r="314" spans="1:16" x14ac:dyDescent="0.3">
      <c r="B314" s="20"/>
      <c r="C314" s="90" t="s">
        <v>178</v>
      </c>
      <c r="D314" s="62">
        <f>[7]Sheet3!$N$6/1000000</f>
        <v>0.21397062958333335</v>
      </c>
      <c r="E314" s="62">
        <f>D314</f>
        <v>0.21397062958333335</v>
      </c>
      <c r="F314" s="62">
        <f t="shared" ref="F314:O318" si="103">E314</f>
        <v>0.21397062958333335</v>
      </c>
      <c r="G314" s="62">
        <f t="shared" si="103"/>
        <v>0.21397062958333335</v>
      </c>
      <c r="H314" s="62">
        <f t="shared" si="103"/>
        <v>0.21397062958333335</v>
      </c>
      <c r="I314" s="62">
        <f t="shared" si="103"/>
        <v>0.21397062958333335</v>
      </c>
      <c r="J314" s="62">
        <f t="shared" si="103"/>
        <v>0.21397062958333335</v>
      </c>
      <c r="K314" s="62">
        <f t="shared" si="103"/>
        <v>0.21397062958333335</v>
      </c>
      <c r="L314" s="62">
        <f t="shared" si="103"/>
        <v>0.21397062958333335</v>
      </c>
      <c r="M314" s="62">
        <f t="shared" si="103"/>
        <v>0.21397062958333335</v>
      </c>
      <c r="N314" s="62">
        <f t="shared" si="103"/>
        <v>0.21397062958333335</v>
      </c>
      <c r="O314" s="62">
        <f t="shared" si="103"/>
        <v>0.21397062958333335</v>
      </c>
      <c r="P314" s="62">
        <f t="shared" si="99"/>
        <v>2.5676475549999993</v>
      </c>
    </row>
    <row r="315" spans="1:16" x14ac:dyDescent="0.3">
      <c r="B315" s="20"/>
      <c r="C315" s="90" t="s">
        <v>179</v>
      </c>
      <c r="D315" s="62">
        <f>('[9]Budget Benefit per cost center'!$E$9+'[9]Budget Benefit per cost center'!$F$9+'[9]Budget Benefit per cost center'!$G$9)/1000000</f>
        <v>27.312746227000002</v>
      </c>
      <c r="E315" s="62">
        <f>D315</f>
        <v>27.312746227000002</v>
      </c>
      <c r="F315" s="62">
        <f t="shared" si="103"/>
        <v>27.312746227000002</v>
      </c>
      <c r="G315" s="62">
        <f t="shared" si="103"/>
        <v>27.312746227000002</v>
      </c>
      <c r="H315" s="62">
        <f t="shared" si="103"/>
        <v>27.312746227000002</v>
      </c>
      <c r="I315" s="62">
        <f t="shared" si="103"/>
        <v>27.312746227000002</v>
      </c>
      <c r="J315" s="62">
        <f t="shared" si="103"/>
        <v>27.312746227000002</v>
      </c>
      <c r="K315" s="62">
        <f t="shared" si="103"/>
        <v>27.312746227000002</v>
      </c>
      <c r="L315" s="62">
        <f t="shared" si="103"/>
        <v>27.312746227000002</v>
      </c>
      <c r="M315" s="62">
        <f t="shared" si="103"/>
        <v>27.312746227000002</v>
      </c>
      <c r="N315" s="62">
        <f t="shared" si="103"/>
        <v>27.312746227000002</v>
      </c>
      <c r="O315" s="62">
        <f t="shared" si="103"/>
        <v>27.312746227000002</v>
      </c>
      <c r="P315" s="62">
        <f t="shared" si="99"/>
        <v>327.75295472399995</v>
      </c>
    </row>
    <row r="316" spans="1:16" x14ac:dyDescent="0.3">
      <c r="B316" s="20"/>
      <c r="C316" s="90" t="s">
        <v>180</v>
      </c>
      <c r="D316" s="62">
        <f>([7]Sheet3!$I$6+[7]Sheet3!$L$7+[7]Sheet3!$M$7)/1000000</f>
        <v>0.42399311493333336</v>
      </c>
      <c r="E316" s="62">
        <f>D316</f>
        <v>0.42399311493333336</v>
      </c>
      <c r="F316" s="62">
        <f t="shared" si="103"/>
        <v>0.42399311493333336</v>
      </c>
      <c r="G316" s="62">
        <f t="shared" si="103"/>
        <v>0.42399311493333336</v>
      </c>
      <c r="H316" s="62">
        <f t="shared" si="103"/>
        <v>0.42399311493333336</v>
      </c>
      <c r="I316" s="62">
        <f t="shared" si="103"/>
        <v>0.42399311493333336</v>
      </c>
      <c r="J316" s="62">
        <f t="shared" si="103"/>
        <v>0.42399311493333336</v>
      </c>
      <c r="K316" s="62">
        <f t="shared" si="103"/>
        <v>0.42399311493333336</v>
      </c>
      <c r="L316" s="62">
        <f t="shared" si="103"/>
        <v>0.42399311493333336</v>
      </c>
      <c r="M316" s="62">
        <f t="shared" si="103"/>
        <v>0.42399311493333336</v>
      </c>
      <c r="N316" s="62">
        <f t="shared" si="103"/>
        <v>0.42399311493333336</v>
      </c>
      <c r="O316" s="62">
        <f t="shared" si="103"/>
        <v>0.42399311493333336</v>
      </c>
      <c r="P316" s="62">
        <f t="shared" si="99"/>
        <v>5.0879173792000003</v>
      </c>
    </row>
    <row r="317" spans="1:16" x14ac:dyDescent="0.3">
      <c r="B317" s="20"/>
      <c r="C317" s="90" t="s">
        <v>181</v>
      </c>
      <c r="D317" s="62">
        <f>[7]Sheet3!$L$6/1000000</f>
        <v>0.30811770660000004</v>
      </c>
      <c r="E317" s="62">
        <f>D317</f>
        <v>0.30811770660000004</v>
      </c>
      <c r="F317" s="62">
        <f t="shared" si="103"/>
        <v>0.30811770660000004</v>
      </c>
      <c r="G317" s="62">
        <f t="shared" si="103"/>
        <v>0.30811770660000004</v>
      </c>
      <c r="H317" s="62">
        <f t="shared" si="103"/>
        <v>0.30811770660000004</v>
      </c>
      <c r="I317" s="62">
        <f t="shared" si="103"/>
        <v>0.30811770660000004</v>
      </c>
      <c r="J317" s="62">
        <f t="shared" si="103"/>
        <v>0.30811770660000004</v>
      </c>
      <c r="K317" s="62">
        <f t="shared" si="103"/>
        <v>0.30811770660000004</v>
      </c>
      <c r="L317" s="62">
        <f t="shared" si="103"/>
        <v>0.30811770660000004</v>
      </c>
      <c r="M317" s="62">
        <f t="shared" si="103"/>
        <v>0.30811770660000004</v>
      </c>
      <c r="N317" s="62">
        <f t="shared" si="103"/>
        <v>0.30811770660000004</v>
      </c>
      <c r="O317" s="62">
        <f t="shared" si="103"/>
        <v>0.30811770660000004</v>
      </c>
      <c r="P317" s="62">
        <f t="shared" si="99"/>
        <v>3.6974124792000005</v>
      </c>
    </row>
    <row r="318" spans="1:16" x14ac:dyDescent="0.3">
      <c r="B318" s="20"/>
      <c r="C318" s="90" t="s">
        <v>182</v>
      </c>
      <c r="D318" s="62">
        <f>('[9]Budget Benefit per cost center'!$C$9+('[9]Budget Benefit per cost center'!$D$9/12)+[7]Sheet3!$J$6+[7]Sheet3!$K$6)/1000000</f>
        <v>7.2777750000000001</v>
      </c>
      <c r="E318" s="62">
        <f>D318</f>
        <v>7.2777750000000001</v>
      </c>
      <c r="F318" s="62">
        <f t="shared" si="103"/>
        <v>7.2777750000000001</v>
      </c>
      <c r="G318" s="62">
        <f t="shared" si="103"/>
        <v>7.2777750000000001</v>
      </c>
      <c r="H318" s="62">
        <f t="shared" si="103"/>
        <v>7.2777750000000001</v>
      </c>
      <c r="I318" s="62">
        <f t="shared" si="103"/>
        <v>7.2777750000000001</v>
      </c>
      <c r="J318" s="62">
        <f t="shared" si="103"/>
        <v>7.2777750000000001</v>
      </c>
      <c r="K318" s="62">
        <f t="shared" si="103"/>
        <v>7.2777750000000001</v>
      </c>
      <c r="L318" s="62">
        <f t="shared" si="103"/>
        <v>7.2777750000000001</v>
      </c>
      <c r="M318" s="62">
        <f t="shared" si="103"/>
        <v>7.2777750000000001</v>
      </c>
      <c r="N318" s="62">
        <f t="shared" si="103"/>
        <v>7.2777750000000001</v>
      </c>
      <c r="O318" s="62">
        <f t="shared" si="103"/>
        <v>7.2777750000000001</v>
      </c>
      <c r="P318" s="62">
        <f t="shared" si="99"/>
        <v>87.333300000000008</v>
      </c>
    </row>
    <row r="319" spans="1:16" ht="13.5" thickBot="1" x14ac:dyDescent="0.35">
      <c r="A319" s="20"/>
      <c r="B319" s="20"/>
      <c r="C319" s="99" t="s">
        <v>183</v>
      </c>
      <c r="D319" s="100">
        <f t="shared" ref="D319:O319" si="104">SUM(D314:D318)</f>
        <v>35.536602678116665</v>
      </c>
      <c r="E319" s="100">
        <f t="shared" si="104"/>
        <v>35.536602678116665</v>
      </c>
      <c r="F319" s="100">
        <f t="shared" si="104"/>
        <v>35.536602678116665</v>
      </c>
      <c r="G319" s="100">
        <f t="shared" si="104"/>
        <v>35.536602678116665</v>
      </c>
      <c r="H319" s="100">
        <f t="shared" si="104"/>
        <v>35.536602678116665</v>
      </c>
      <c r="I319" s="100">
        <f t="shared" si="104"/>
        <v>35.536602678116665</v>
      </c>
      <c r="J319" s="100">
        <f t="shared" si="104"/>
        <v>35.536602678116665</v>
      </c>
      <c r="K319" s="100">
        <f t="shared" si="104"/>
        <v>35.536602678116665</v>
      </c>
      <c r="L319" s="100">
        <f t="shared" si="104"/>
        <v>35.536602678116665</v>
      </c>
      <c r="M319" s="100">
        <f t="shared" si="104"/>
        <v>35.536602678116665</v>
      </c>
      <c r="N319" s="100">
        <f t="shared" si="104"/>
        <v>35.536602678116665</v>
      </c>
      <c r="O319" s="100">
        <f t="shared" si="104"/>
        <v>35.536602678116665</v>
      </c>
      <c r="P319" s="100">
        <f t="shared" si="99"/>
        <v>426.43923213739987</v>
      </c>
    </row>
    <row r="320" spans="1:16" ht="13.5" thickBot="1" x14ac:dyDescent="0.35">
      <c r="A320" s="20"/>
      <c r="B320" s="20"/>
      <c r="C320" s="92" t="s">
        <v>184</v>
      </c>
      <c r="D320" s="93">
        <f t="shared" ref="D320:P320" si="105">D285+D305+D313+D319</f>
        <v>317.09633146394998</v>
      </c>
      <c r="E320" s="93">
        <f t="shared" si="105"/>
        <v>331.25522229447586</v>
      </c>
      <c r="F320" s="93">
        <f t="shared" si="105"/>
        <v>336.38388757229126</v>
      </c>
      <c r="G320" s="93">
        <f t="shared" si="105"/>
        <v>329.6040267821956</v>
      </c>
      <c r="H320" s="93">
        <f t="shared" si="105"/>
        <v>324.76299813061667</v>
      </c>
      <c r="I320" s="93">
        <f t="shared" si="105"/>
        <v>350.38592806423628</v>
      </c>
      <c r="J320" s="93">
        <f t="shared" si="105"/>
        <v>356.46488266309495</v>
      </c>
      <c r="K320" s="93">
        <f t="shared" si="105"/>
        <v>342.48064138446404</v>
      </c>
      <c r="L320" s="93">
        <f t="shared" si="105"/>
        <v>346.64763527070772</v>
      </c>
      <c r="M320" s="93">
        <f t="shared" si="105"/>
        <v>357.61999157730253</v>
      </c>
      <c r="N320" s="93">
        <f t="shared" si="105"/>
        <v>365.82912227013992</v>
      </c>
      <c r="O320" s="93">
        <f t="shared" si="105"/>
        <v>360.61044878656418</v>
      </c>
      <c r="P320" s="93">
        <f t="shared" si="105"/>
        <v>4119.1411162600389</v>
      </c>
    </row>
    <row r="321" spans="1:16" ht="13.5" thickBot="1" x14ac:dyDescent="0.35">
      <c r="C321" s="118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</row>
    <row r="322" spans="1:16" ht="13.5" thickBot="1" x14ac:dyDescent="0.35">
      <c r="C322" s="119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</row>
    <row r="323" spans="1:16" ht="14" thickTop="1" thickBot="1" x14ac:dyDescent="0.35">
      <c r="C323" s="121" t="s">
        <v>248</v>
      </c>
      <c r="D323" s="122">
        <f>D320+D322</f>
        <v>317.09633146394998</v>
      </c>
      <c r="E323" s="122">
        <f t="shared" ref="E323:P323" si="106">E320+E322</f>
        <v>331.25522229447586</v>
      </c>
      <c r="F323" s="122">
        <f t="shared" si="106"/>
        <v>336.38388757229126</v>
      </c>
      <c r="G323" s="122">
        <f t="shared" si="106"/>
        <v>329.6040267821956</v>
      </c>
      <c r="H323" s="122">
        <f t="shared" si="106"/>
        <v>324.76299813061667</v>
      </c>
      <c r="I323" s="122">
        <f t="shared" si="106"/>
        <v>350.38592806423628</v>
      </c>
      <c r="J323" s="122">
        <f t="shared" si="106"/>
        <v>356.46488266309495</v>
      </c>
      <c r="K323" s="122">
        <f t="shared" si="106"/>
        <v>342.48064138446404</v>
      </c>
      <c r="L323" s="122">
        <f t="shared" si="106"/>
        <v>346.64763527070772</v>
      </c>
      <c r="M323" s="122">
        <f t="shared" si="106"/>
        <v>357.61999157730253</v>
      </c>
      <c r="N323" s="122">
        <f t="shared" si="106"/>
        <v>365.82912227013992</v>
      </c>
      <c r="O323" s="122">
        <f t="shared" si="106"/>
        <v>360.61044878656418</v>
      </c>
      <c r="P323" s="122">
        <f t="shared" si="106"/>
        <v>4119.1411162600389</v>
      </c>
    </row>
    <row r="324" spans="1:16" ht="13.5" thickTop="1" x14ac:dyDescent="0.3">
      <c r="C324" s="123" t="s">
        <v>250</v>
      </c>
      <c r="D324" s="124" t="e">
        <f t="shared" ref="D324:P324" si="107">D323/D279</f>
        <v>#DIV/0!</v>
      </c>
      <c r="E324" s="124" t="e">
        <f t="shared" si="107"/>
        <v>#DIV/0!</v>
      </c>
      <c r="F324" s="124" t="e">
        <f t="shared" si="107"/>
        <v>#DIV/0!</v>
      </c>
      <c r="G324" s="124" t="e">
        <f t="shared" si="107"/>
        <v>#DIV/0!</v>
      </c>
      <c r="H324" s="124" t="e">
        <f t="shared" si="107"/>
        <v>#DIV/0!</v>
      </c>
      <c r="I324" s="124" t="e">
        <f t="shared" si="107"/>
        <v>#DIV/0!</v>
      </c>
      <c r="J324" s="124" t="e">
        <f t="shared" si="107"/>
        <v>#DIV/0!</v>
      </c>
      <c r="K324" s="124" t="e">
        <f t="shared" si="107"/>
        <v>#DIV/0!</v>
      </c>
      <c r="L324" s="124" t="e">
        <f t="shared" si="107"/>
        <v>#DIV/0!</v>
      </c>
      <c r="M324" s="124" t="e">
        <f t="shared" si="107"/>
        <v>#DIV/0!</v>
      </c>
      <c r="N324" s="124" t="e">
        <f t="shared" si="107"/>
        <v>#DIV/0!</v>
      </c>
      <c r="O324" s="124" t="e">
        <f t="shared" si="107"/>
        <v>#DIV/0!</v>
      </c>
      <c r="P324" s="124" t="e">
        <f t="shared" si="107"/>
        <v>#DIV/0!</v>
      </c>
    </row>
    <row r="325" spans="1:16" x14ac:dyDescent="0.3">
      <c r="C325" s="125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</row>
    <row r="326" spans="1:16" ht="13.5" thickBot="1" x14ac:dyDescent="0.35">
      <c r="C326" s="66" t="s">
        <v>251</v>
      </c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</row>
    <row r="327" spans="1:16" ht="13.5" customHeight="1" thickBot="1" x14ac:dyDescent="0.35">
      <c r="C327" s="23" t="s">
        <v>69</v>
      </c>
      <c r="D327" s="24" t="s">
        <v>70</v>
      </c>
      <c r="E327" s="24" t="s">
        <v>71</v>
      </c>
      <c r="F327" s="24" t="s">
        <v>72</v>
      </c>
      <c r="G327" s="24" t="s">
        <v>73</v>
      </c>
      <c r="H327" s="24" t="s">
        <v>74</v>
      </c>
      <c r="I327" s="24" t="s">
        <v>75</v>
      </c>
      <c r="J327" s="24" t="s">
        <v>76</v>
      </c>
      <c r="K327" s="24" t="s">
        <v>77</v>
      </c>
      <c r="L327" s="24" t="s">
        <v>78</v>
      </c>
      <c r="M327" s="24" t="s">
        <v>79</v>
      </c>
      <c r="N327" s="24" t="s">
        <v>80</v>
      </c>
      <c r="O327" s="24" t="s">
        <v>81</v>
      </c>
      <c r="P327" s="25" t="s">
        <v>110</v>
      </c>
    </row>
    <row r="328" spans="1:16" ht="13.5" thickBot="1" x14ac:dyDescent="0.35">
      <c r="C328" s="116" t="s">
        <v>247</v>
      </c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3">
      <c r="C329" s="86"/>
      <c r="D329" s="87"/>
      <c r="E329" s="88"/>
      <c r="F329" s="89"/>
      <c r="G329" s="89"/>
      <c r="H329" s="89"/>
      <c r="I329" s="89"/>
      <c r="J329" s="89"/>
      <c r="K329" s="89"/>
      <c r="L329" s="87"/>
      <c r="M329" s="89"/>
      <c r="N329" s="89"/>
      <c r="O329" s="89"/>
      <c r="P329" s="89"/>
    </row>
    <row r="330" spans="1:16" x14ac:dyDescent="0.3">
      <c r="C330" s="90" t="s">
        <v>147</v>
      </c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>
        <f t="shared" ref="P330:P332" si="108">D330+E330+F330+G330+H330+I330+J330+K330+L330+M330+N330+O330</f>
        <v>0</v>
      </c>
    </row>
    <row r="331" spans="1:16" x14ac:dyDescent="0.3">
      <c r="C331" s="33" t="s">
        <v>148</v>
      </c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>
        <f t="shared" si="108"/>
        <v>0</v>
      </c>
    </row>
    <row r="332" spans="1:16" x14ac:dyDescent="0.3">
      <c r="C332" s="90" t="s">
        <v>149</v>
      </c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>
        <f t="shared" si="108"/>
        <v>0</v>
      </c>
    </row>
    <row r="333" spans="1:16" ht="13.5" thickBot="1" x14ac:dyDescent="0.35">
      <c r="C333" s="90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</row>
    <row r="334" spans="1:16" ht="13.5" thickBot="1" x14ac:dyDescent="0.35">
      <c r="A334" s="20"/>
      <c r="B334" s="20"/>
      <c r="C334" s="92" t="s">
        <v>150</v>
      </c>
      <c r="D334" s="93">
        <f t="shared" ref="D334:P334" si="109">SUM(D330:D333)</f>
        <v>0</v>
      </c>
      <c r="E334" s="93">
        <f t="shared" si="109"/>
        <v>0</v>
      </c>
      <c r="F334" s="93">
        <f t="shared" si="109"/>
        <v>0</v>
      </c>
      <c r="G334" s="93">
        <f t="shared" si="109"/>
        <v>0</v>
      </c>
      <c r="H334" s="93">
        <f t="shared" si="109"/>
        <v>0</v>
      </c>
      <c r="I334" s="93">
        <f t="shared" si="109"/>
        <v>0</v>
      </c>
      <c r="J334" s="93">
        <f t="shared" si="109"/>
        <v>0</v>
      </c>
      <c r="K334" s="93">
        <f t="shared" si="109"/>
        <v>0</v>
      </c>
      <c r="L334" s="93">
        <f t="shared" si="109"/>
        <v>0</v>
      </c>
      <c r="M334" s="93">
        <f t="shared" si="109"/>
        <v>0</v>
      </c>
      <c r="N334" s="93">
        <f t="shared" si="109"/>
        <v>0</v>
      </c>
      <c r="O334" s="93">
        <f t="shared" si="109"/>
        <v>0</v>
      </c>
      <c r="P334" s="93">
        <f t="shared" si="109"/>
        <v>0</v>
      </c>
    </row>
    <row r="335" spans="1:16" x14ac:dyDescent="0.3">
      <c r="C335" s="94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43"/>
    </row>
    <row r="336" spans="1:16" x14ac:dyDescent="0.3">
      <c r="C336" s="90" t="s">
        <v>151</v>
      </c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62">
        <f t="shared" ref="P336:P353" si="110">D336+E336+F336+G336+H336+I336+J336+K336+L336+M336+N336+O336</f>
        <v>0</v>
      </c>
    </row>
    <row r="337" spans="2:16" x14ac:dyDescent="0.3">
      <c r="C337" s="90" t="s">
        <v>152</v>
      </c>
      <c r="D337" s="103">
        <f>[15]Sheet1!D325/1000000</f>
        <v>0</v>
      </c>
      <c r="E337" s="103">
        <f>[15]Sheet1!E325/1000000</f>
        <v>0</v>
      </c>
      <c r="F337" s="103">
        <f>[15]Sheet1!F325/1000000</f>
        <v>0</v>
      </c>
      <c r="G337" s="103">
        <f>[15]Sheet1!G325/1000000</f>
        <v>0</v>
      </c>
      <c r="H337" s="103">
        <f>[15]Sheet1!H325/1000000</f>
        <v>0</v>
      </c>
      <c r="I337" s="103">
        <f>[15]Sheet1!I325/1000000</f>
        <v>0</v>
      </c>
      <c r="J337" s="103">
        <f>[15]Sheet1!J325/1000000</f>
        <v>0</v>
      </c>
      <c r="K337" s="103">
        <f>[15]Sheet1!K325/1000000</f>
        <v>0</v>
      </c>
      <c r="L337" s="103">
        <f>[15]Sheet1!L325/1000000</f>
        <v>0</v>
      </c>
      <c r="M337" s="103">
        <f>[15]Sheet1!M325/1000000</f>
        <v>0</v>
      </c>
      <c r="N337" s="103">
        <f>[15]Sheet1!N325/1000000</f>
        <v>0</v>
      </c>
      <c r="O337" s="103">
        <f>[15]Sheet1!O325/1000000</f>
        <v>0</v>
      </c>
      <c r="P337" s="62">
        <f t="shared" si="110"/>
        <v>0</v>
      </c>
    </row>
    <row r="338" spans="2:16" x14ac:dyDescent="0.3">
      <c r="C338" s="90" t="s">
        <v>153</v>
      </c>
      <c r="D338" s="103">
        <f>[15]Sheet1!D326/1000000</f>
        <v>0</v>
      </c>
      <c r="E338" s="103">
        <f>[15]Sheet1!E326/1000000</f>
        <v>0</v>
      </c>
      <c r="F338" s="103">
        <f>[15]Sheet1!F326/1000000</f>
        <v>0</v>
      </c>
      <c r="G338" s="103">
        <f>[15]Sheet1!G326/1000000</f>
        <v>0</v>
      </c>
      <c r="H338" s="103">
        <f>[15]Sheet1!H326/1000000</f>
        <v>0</v>
      </c>
      <c r="I338" s="103">
        <f>[15]Sheet1!I326/1000000</f>
        <v>0</v>
      </c>
      <c r="J338" s="103">
        <f>[15]Sheet1!J326/1000000</f>
        <v>0</v>
      </c>
      <c r="K338" s="103">
        <f>[15]Sheet1!K326/1000000</f>
        <v>0</v>
      </c>
      <c r="L338" s="103">
        <f>[15]Sheet1!L326/1000000</f>
        <v>0</v>
      </c>
      <c r="M338" s="103">
        <f>[15]Sheet1!M326/1000000</f>
        <v>0</v>
      </c>
      <c r="N338" s="103">
        <f>[15]Sheet1!N326/1000000</f>
        <v>0</v>
      </c>
      <c r="O338" s="103">
        <f>[15]Sheet1!O326/1000000</f>
        <v>0</v>
      </c>
      <c r="P338" s="62">
        <f t="shared" si="110"/>
        <v>0</v>
      </c>
    </row>
    <row r="339" spans="2:16" x14ac:dyDescent="0.3">
      <c r="C339" s="90" t="s">
        <v>154</v>
      </c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62">
        <f t="shared" si="110"/>
        <v>0</v>
      </c>
    </row>
    <row r="340" spans="2:16" x14ac:dyDescent="0.3">
      <c r="C340" s="90" t="s">
        <v>155</v>
      </c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62">
        <f t="shared" si="110"/>
        <v>0</v>
      </c>
    </row>
    <row r="341" spans="2:16" x14ac:dyDescent="0.3">
      <c r="C341" s="90" t="s">
        <v>156</v>
      </c>
      <c r="D341" s="103">
        <f>[15]Sheet1!D329/1000000</f>
        <v>0</v>
      </c>
      <c r="E341" s="103">
        <f>[15]Sheet1!E329/1000000</f>
        <v>0</v>
      </c>
      <c r="F341" s="103">
        <f>[15]Sheet1!F329/1000000</f>
        <v>0</v>
      </c>
      <c r="G341" s="103">
        <f>[15]Sheet1!G329/1000000</f>
        <v>0</v>
      </c>
      <c r="H341" s="103">
        <f>[15]Sheet1!H329/1000000</f>
        <v>0</v>
      </c>
      <c r="I341" s="103">
        <f>[15]Sheet1!I329/1000000</f>
        <v>0</v>
      </c>
      <c r="J341" s="103">
        <f>[15]Sheet1!J329/1000000</f>
        <v>0</v>
      </c>
      <c r="K341" s="103">
        <f>[15]Sheet1!K329/1000000</f>
        <v>0</v>
      </c>
      <c r="L341" s="103">
        <f>[15]Sheet1!L329/1000000</f>
        <v>0</v>
      </c>
      <c r="M341" s="103">
        <f>[15]Sheet1!M329/1000000</f>
        <v>0</v>
      </c>
      <c r="N341" s="103">
        <f>[15]Sheet1!N329/1000000</f>
        <v>0</v>
      </c>
      <c r="O341" s="103">
        <f>[15]Sheet1!O329/1000000</f>
        <v>0</v>
      </c>
      <c r="P341" s="62">
        <f t="shared" si="110"/>
        <v>0</v>
      </c>
    </row>
    <row r="342" spans="2:16" x14ac:dyDescent="0.3">
      <c r="C342" s="90" t="s">
        <v>157</v>
      </c>
      <c r="D342" s="103">
        <f>[15]Sheet1!D330/1000000</f>
        <v>0</v>
      </c>
      <c r="E342" s="103">
        <f>[15]Sheet1!E330/1000000</f>
        <v>0</v>
      </c>
      <c r="F342" s="103">
        <f>[15]Sheet1!F330/1000000</f>
        <v>0</v>
      </c>
      <c r="G342" s="103">
        <f>[15]Sheet1!G330/1000000</f>
        <v>0</v>
      </c>
      <c r="H342" s="103">
        <f>[15]Sheet1!H330/1000000</f>
        <v>0</v>
      </c>
      <c r="I342" s="103">
        <f>[15]Sheet1!I330/1000000</f>
        <v>0</v>
      </c>
      <c r="J342" s="103">
        <f>[15]Sheet1!J330/1000000</f>
        <v>0</v>
      </c>
      <c r="K342" s="103">
        <f>[15]Sheet1!K330/1000000</f>
        <v>0</v>
      </c>
      <c r="L342" s="103">
        <f>[15]Sheet1!L330/1000000</f>
        <v>0</v>
      </c>
      <c r="M342" s="103">
        <f>[15]Sheet1!M330/1000000</f>
        <v>0</v>
      </c>
      <c r="N342" s="103">
        <f>[15]Sheet1!N330/1000000</f>
        <v>0</v>
      </c>
      <c r="O342" s="103">
        <f>[15]Sheet1!O330/1000000</f>
        <v>0</v>
      </c>
      <c r="P342" s="62">
        <f t="shared" si="110"/>
        <v>0</v>
      </c>
    </row>
    <row r="343" spans="2:16" x14ac:dyDescent="0.3">
      <c r="B343" s="20"/>
      <c r="C343" s="90" t="s">
        <v>158</v>
      </c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62">
        <f t="shared" si="110"/>
        <v>0</v>
      </c>
    </row>
    <row r="344" spans="2:16" x14ac:dyDescent="0.3">
      <c r="C344" s="90" t="s">
        <v>159</v>
      </c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62">
        <f t="shared" si="110"/>
        <v>0</v>
      </c>
    </row>
    <row r="345" spans="2:16" x14ac:dyDescent="0.3">
      <c r="C345" s="90" t="s">
        <v>160</v>
      </c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62">
        <f t="shared" si="110"/>
        <v>0</v>
      </c>
    </row>
    <row r="346" spans="2:16" x14ac:dyDescent="0.3">
      <c r="C346" s="90" t="s">
        <v>161</v>
      </c>
      <c r="D346" s="103">
        <f>'[13]Budget Depre'!E11/1000000</f>
        <v>0</v>
      </c>
      <c r="E346" s="103">
        <f>'[13]Budget Depre'!F11/1000000</f>
        <v>0</v>
      </c>
      <c r="F346" s="103">
        <f>'[13]Budget Depre'!G11/1000000</f>
        <v>0</v>
      </c>
      <c r="G346" s="103">
        <f>'[13]Budget Depre'!H11/1000000</f>
        <v>0</v>
      </c>
      <c r="H346" s="103">
        <f>'[13]Budget Depre'!I11/1000000</f>
        <v>0</v>
      </c>
      <c r="I346" s="103">
        <f>'[13]Budget Depre'!J11/1000000</f>
        <v>0</v>
      </c>
      <c r="J346" s="103">
        <f>'[13]Budget Depre'!K11/1000000</f>
        <v>0</v>
      </c>
      <c r="K346" s="103">
        <f>'[13]Budget Depre'!L11/1000000</f>
        <v>0</v>
      </c>
      <c r="L346" s="103">
        <f>'[13]Budget Depre'!M11/1000000</f>
        <v>0</v>
      </c>
      <c r="M346" s="103">
        <f>'[13]Budget Depre'!N11/1000000</f>
        <v>0</v>
      </c>
      <c r="N346" s="103">
        <f>'[13]Budget Depre'!O11/1000000</f>
        <v>0</v>
      </c>
      <c r="O346" s="103">
        <f>'[13]Budget Depre'!P11/1000000</f>
        <v>0</v>
      </c>
      <c r="P346" s="62">
        <f t="shared" si="110"/>
        <v>0</v>
      </c>
    </row>
    <row r="347" spans="2:16" x14ac:dyDescent="0.3">
      <c r="C347" s="90" t="s">
        <v>162</v>
      </c>
      <c r="D347" s="103">
        <f>'[13]Budget Depre'!E12/1000000</f>
        <v>0.54966599999999999</v>
      </c>
      <c r="E347" s="103">
        <f>'[13]Budget Depre'!F12/1000000</f>
        <v>1.549666</v>
      </c>
      <c r="F347" s="103">
        <f>'[13]Budget Depre'!G12/1000000</f>
        <v>1.549666</v>
      </c>
      <c r="G347" s="103">
        <f>'[13]Budget Depre'!H12/1000000</f>
        <v>1.549666</v>
      </c>
      <c r="H347" s="103">
        <f>'[13]Budget Depre'!I12/1000000</f>
        <v>1.549666</v>
      </c>
      <c r="I347" s="103">
        <f>'[13]Budget Depre'!J12/1000000</f>
        <v>1.549666</v>
      </c>
      <c r="J347" s="103">
        <f>'[13]Budget Depre'!K12/1000000</f>
        <v>1.549666</v>
      </c>
      <c r="K347" s="103">
        <f>'[13]Budget Depre'!L12/1000000</f>
        <v>1.549666</v>
      </c>
      <c r="L347" s="103">
        <f>'[13]Budget Depre'!M12/1000000</f>
        <v>1.549666</v>
      </c>
      <c r="M347" s="103">
        <f>'[13]Budget Depre'!N12/1000000</f>
        <v>1.549666</v>
      </c>
      <c r="N347" s="103">
        <f>'[13]Budget Depre'!O12/1000000</f>
        <v>1.549666</v>
      </c>
      <c r="O347" s="103">
        <f>'[13]Budget Depre'!P12/1000000</f>
        <v>1.549666</v>
      </c>
      <c r="P347" s="62">
        <f t="shared" si="110"/>
        <v>17.595991999999999</v>
      </c>
    </row>
    <row r="348" spans="2:16" x14ac:dyDescent="0.3">
      <c r="C348" s="90" t="s">
        <v>163</v>
      </c>
      <c r="D348" s="103">
        <f>'[13]Budget Depre'!E13/1000000</f>
        <v>3.823</v>
      </c>
      <c r="E348" s="103">
        <f>'[13]Budget Depre'!F13/1000000</f>
        <v>3.823</v>
      </c>
      <c r="F348" s="103">
        <f>'[13]Budget Depre'!G13/1000000</f>
        <v>3.823</v>
      </c>
      <c r="G348" s="103">
        <f>'[13]Budget Depre'!H13/1000000</f>
        <v>3.823</v>
      </c>
      <c r="H348" s="103">
        <f>'[13]Budget Depre'!I13/1000000</f>
        <v>3.823</v>
      </c>
      <c r="I348" s="103">
        <f>'[13]Budget Depre'!J13/1000000</f>
        <v>3.823</v>
      </c>
      <c r="J348" s="103">
        <f>'[13]Budget Depre'!K13/1000000</f>
        <v>3.823</v>
      </c>
      <c r="K348" s="103">
        <f>'[13]Budget Depre'!L13/1000000</f>
        <v>3.823</v>
      </c>
      <c r="L348" s="103">
        <f>'[13]Budget Depre'!M13/1000000</f>
        <v>3.823</v>
      </c>
      <c r="M348" s="103">
        <f>'[13]Budget Depre'!N13/1000000</f>
        <v>3.823</v>
      </c>
      <c r="N348" s="103">
        <f>'[13]Budget Depre'!O13/1000000</f>
        <v>3.823</v>
      </c>
      <c r="O348" s="103">
        <f>'[13]Budget Depre'!P13/1000000</f>
        <v>3.823</v>
      </c>
      <c r="P348" s="62">
        <f t="shared" si="110"/>
        <v>45.875999999999998</v>
      </c>
    </row>
    <row r="349" spans="2:16" x14ac:dyDescent="0.3">
      <c r="C349" s="90" t="s">
        <v>164</v>
      </c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62">
        <f t="shared" si="110"/>
        <v>0</v>
      </c>
    </row>
    <row r="350" spans="2:16" x14ac:dyDescent="0.3">
      <c r="C350" s="90" t="s">
        <v>165</v>
      </c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62">
        <f t="shared" si="110"/>
        <v>0</v>
      </c>
    </row>
    <row r="351" spans="2:16" x14ac:dyDescent="0.3">
      <c r="C351" s="90" t="s">
        <v>166</v>
      </c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62">
        <f t="shared" si="110"/>
        <v>0</v>
      </c>
    </row>
    <row r="352" spans="2:16" x14ac:dyDescent="0.3">
      <c r="C352" s="90" t="s">
        <v>167</v>
      </c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62">
        <f t="shared" si="110"/>
        <v>0</v>
      </c>
    </row>
    <row r="353" spans="1:16" ht="13.5" thickBot="1" x14ac:dyDescent="0.35">
      <c r="C353" s="90" t="s">
        <v>168</v>
      </c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62">
        <f t="shared" si="110"/>
        <v>0</v>
      </c>
    </row>
    <row r="354" spans="1:16" ht="13.5" thickBot="1" x14ac:dyDescent="0.35">
      <c r="B354" s="20"/>
      <c r="C354" s="95" t="s">
        <v>169</v>
      </c>
      <c r="D354" s="93">
        <f t="shared" ref="D354:P354" si="111">SUM(D336:D353)</f>
        <v>4.3726659999999997</v>
      </c>
      <c r="E354" s="93">
        <f t="shared" si="111"/>
        <v>5.3726659999999997</v>
      </c>
      <c r="F354" s="93">
        <f t="shared" si="111"/>
        <v>5.3726659999999997</v>
      </c>
      <c r="G354" s="93">
        <f t="shared" si="111"/>
        <v>5.3726659999999997</v>
      </c>
      <c r="H354" s="93">
        <f t="shared" si="111"/>
        <v>5.3726659999999997</v>
      </c>
      <c r="I354" s="93">
        <f t="shared" si="111"/>
        <v>5.3726659999999997</v>
      </c>
      <c r="J354" s="93">
        <f t="shared" si="111"/>
        <v>5.3726659999999997</v>
      </c>
      <c r="K354" s="93">
        <f t="shared" si="111"/>
        <v>5.3726659999999997</v>
      </c>
      <c r="L354" s="93">
        <f t="shared" si="111"/>
        <v>5.3726659999999997</v>
      </c>
      <c r="M354" s="93">
        <f t="shared" si="111"/>
        <v>5.3726659999999997</v>
      </c>
      <c r="N354" s="93">
        <f t="shared" si="111"/>
        <v>5.3726659999999997</v>
      </c>
      <c r="O354" s="93">
        <f t="shared" si="111"/>
        <v>5.3726659999999997</v>
      </c>
      <c r="P354" s="93">
        <f t="shared" si="111"/>
        <v>63.471992</v>
      </c>
    </row>
    <row r="355" spans="1:16" x14ac:dyDescent="0.3">
      <c r="C355" s="90" t="s">
        <v>170</v>
      </c>
      <c r="D355" s="62">
        <f>'[8]Budget Upah per cost center'!$C$10/1000000</f>
        <v>98.601658</v>
      </c>
      <c r="E355" s="62">
        <f>D355</f>
        <v>98.601658</v>
      </c>
      <c r="F355" s="62">
        <f t="shared" ref="F355:O355" si="112">E355</f>
        <v>98.601658</v>
      </c>
      <c r="G355" s="62">
        <f t="shared" si="112"/>
        <v>98.601658</v>
      </c>
      <c r="H355" s="62">
        <f t="shared" si="112"/>
        <v>98.601658</v>
      </c>
      <c r="I355" s="62">
        <f t="shared" si="112"/>
        <v>98.601658</v>
      </c>
      <c r="J355" s="62">
        <f t="shared" si="112"/>
        <v>98.601658</v>
      </c>
      <c r="K355" s="62">
        <f t="shared" si="112"/>
        <v>98.601658</v>
      </c>
      <c r="L355" s="62">
        <f t="shared" si="112"/>
        <v>98.601658</v>
      </c>
      <c r="M355" s="62">
        <f t="shared" si="112"/>
        <v>98.601658</v>
      </c>
      <c r="N355" s="62">
        <f t="shared" si="112"/>
        <v>98.601658</v>
      </c>
      <c r="O355" s="62">
        <f t="shared" si="112"/>
        <v>98.601658</v>
      </c>
      <c r="P355" s="62">
        <f t="shared" ref="P355:P368" si="113">D355+E355+F355+G355+H355+I355+J355+K355+L355+M355+N355+O355</f>
        <v>1183.2198960000003</v>
      </c>
    </row>
    <row r="356" spans="1:16" x14ac:dyDescent="0.3">
      <c r="C356" s="90" t="s">
        <v>171</v>
      </c>
      <c r="D356" s="62">
        <f>'[16]LEMBUR MO'!N6/1000000</f>
        <v>0</v>
      </c>
      <c r="E356" s="62">
        <f>'[16]LEMBUR MO'!O6/1000000</f>
        <v>0</v>
      </c>
      <c r="F356" s="62">
        <f>'[16]LEMBUR MO'!P6/1000000</f>
        <v>0</v>
      </c>
      <c r="G356" s="62">
        <f>'[16]LEMBUR MO'!Q6/1000000</f>
        <v>0</v>
      </c>
      <c r="H356" s="62">
        <f>'[16]LEMBUR MO'!R6/1000000</f>
        <v>0</v>
      </c>
      <c r="I356" s="62">
        <f>'[16]LEMBUR MO'!S6/1000000</f>
        <v>0</v>
      </c>
      <c r="J356" s="62">
        <f>'[16]LEMBUR MO'!T6/1000000</f>
        <v>5.5473868200346814</v>
      </c>
      <c r="K356" s="62">
        <f>'[16]LEMBUR MO'!U6/1000000</f>
        <v>2.6451819294252679</v>
      </c>
      <c r="L356" s="62">
        <f>'[16]LEMBUR MO'!V6/1000000</f>
        <v>19.903123745035092</v>
      </c>
      <c r="M356" s="62">
        <f>'[16]LEMBUR MO'!W6/1000000</f>
        <v>10.746722719688274</v>
      </c>
      <c r="N356" s="62">
        <f>'[16]LEMBUR MO'!X6/1000000</f>
        <v>6.0935575202576384</v>
      </c>
      <c r="O356" s="62">
        <f>'[16]LEMBUR MO'!Y6/1000000</f>
        <v>4.7977393634541707</v>
      </c>
      <c r="P356" s="62">
        <f t="shared" si="113"/>
        <v>49.733712097895122</v>
      </c>
    </row>
    <row r="357" spans="1:16" x14ac:dyDescent="0.3">
      <c r="C357" s="90" t="s">
        <v>172</v>
      </c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>
        <f t="shared" si="113"/>
        <v>0</v>
      </c>
    </row>
    <row r="358" spans="1:16" x14ac:dyDescent="0.3">
      <c r="C358" s="90" t="s">
        <v>173</v>
      </c>
      <c r="D358" s="62">
        <f>[7]Sheet3!$G$7/1000000</f>
        <v>6.15529511</v>
      </c>
      <c r="E358" s="62">
        <f>D358</f>
        <v>6.15529511</v>
      </c>
      <c r="F358" s="62">
        <f t="shared" ref="F358:O358" si="114">E358</f>
        <v>6.15529511</v>
      </c>
      <c r="G358" s="62">
        <f t="shared" si="114"/>
        <v>6.15529511</v>
      </c>
      <c r="H358" s="62">
        <f t="shared" si="114"/>
        <v>6.15529511</v>
      </c>
      <c r="I358" s="62">
        <f t="shared" si="114"/>
        <v>6.15529511</v>
      </c>
      <c r="J358" s="62">
        <f t="shared" si="114"/>
        <v>6.15529511</v>
      </c>
      <c r="K358" s="62">
        <f t="shared" si="114"/>
        <v>6.15529511</v>
      </c>
      <c r="L358" s="62">
        <f t="shared" si="114"/>
        <v>6.15529511</v>
      </c>
      <c r="M358" s="62">
        <f t="shared" si="114"/>
        <v>6.15529511</v>
      </c>
      <c r="N358" s="62">
        <f t="shared" si="114"/>
        <v>6.15529511</v>
      </c>
      <c r="O358" s="62">
        <f t="shared" si="114"/>
        <v>6.15529511</v>
      </c>
      <c r="P358" s="62">
        <f t="shared" si="113"/>
        <v>73.863541319999982</v>
      </c>
    </row>
    <row r="359" spans="1:16" x14ac:dyDescent="0.3">
      <c r="C359" s="90" t="s">
        <v>174</v>
      </c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>
        <f t="shared" si="113"/>
        <v>0</v>
      </c>
    </row>
    <row r="360" spans="1:16" x14ac:dyDescent="0.3">
      <c r="C360" s="90" t="s">
        <v>175</v>
      </c>
      <c r="D360" s="62">
        <f>('[8]Budget Upah per cost center'!$D$10/1000000)/12</f>
        <v>8.2168048333333328</v>
      </c>
      <c r="E360" s="62">
        <f>D360</f>
        <v>8.2168048333333328</v>
      </c>
      <c r="F360" s="62">
        <f t="shared" ref="F360:O361" si="115">E360</f>
        <v>8.2168048333333328</v>
      </c>
      <c r="G360" s="62">
        <f t="shared" si="115"/>
        <v>8.2168048333333328</v>
      </c>
      <c r="H360" s="62">
        <f t="shared" si="115"/>
        <v>8.2168048333333328</v>
      </c>
      <c r="I360" s="62">
        <f t="shared" si="115"/>
        <v>8.2168048333333328</v>
      </c>
      <c r="J360" s="62">
        <f t="shared" si="115"/>
        <v>8.2168048333333328</v>
      </c>
      <c r="K360" s="62">
        <f t="shared" si="115"/>
        <v>8.2168048333333328</v>
      </c>
      <c r="L360" s="62">
        <f t="shared" si="115"/>
        <v>8.2168048333333328</v>
      </c>
      <c r="M360" s="62">
        <f t="shared" si="115"/>
        <v>8.2168048333333328</v>
      </c>
      <c r="N360" s="62">
        <f t="shared" si="115"/>
        <v>8.2168048333333328</v>
      </c>
      <c r="O360" s="62">
        <f t="shared" si="115"/>
        <v>8.2168048333333328</v>
      </c>
      <c r="P360" s="62">
        <f t="shared" si="113"/>
        <v>98.601657999999972</v>
      </c>
    </row>
    <row r="361" spans="1:16" ht="13.5" thickBot="1" x14ac:dyDescent="0.35">
      <c r="C361" s="90" t="s">
        <v>176</v>
      </c>
      <c r="D361" s="62">
        <f>[7]Sheet3!$H$7/1000000</f>
        <v>0.43419125916666673</v>
      </c>
      <c r="E361" s="62">
        <f>D361</f>
        <v>0.43419125916666673</v>
      </c>
      <c r="F361" s="62">
        <f t="shared" si="115"/>
        <v>0.43419125916666673</v>
      </c>
      <c r="G361" s="62">
        <f t="shared" si="115"/>
        <v>0.43419125916666673</v>
      </c>
      <c r="H361" s="62">
        <f t="shared" si="115"/>
        <v>0.43419125916666673</v>
      </c>
      <c r="I361" s="62">
        <f t="shared" si="115"/>
        <v>0.43419125916666673</v>
      </c>
      <c r="J361" s="62">
        <f t="shared" si="115"/>
        <v>0.43419125916666673</v>
      </c>
      <c r="K361" s="62">
        <f t="shared" si="115"/>
        <v>0.43419125916666673</v>
      </c>
      <c r="L361" s="62">
        <f t="shared" si="115"/>
        <v>0.43419125916666673</v>
      </c>
      <c r="M361" s="62">
        <f t="shared" si="115"/>
        <v>0.43419125916666673</v>
      </c>
      <c r="N361" s="62">
        <f t="shared" si="115"/>
        <v>0.43419125916666673</v>
      </c>
      <c r="O361" s="62">
        <f t="shared" si="115"/>
        <v>0.43419125916666673</v>
      </c>
      <c r="P361" s="62">
        <f t="shared" si="113"/>
        <v>5.2102951100000006</v>
      </c>
    </row>
    <row r="362" spans="1:16" ht="13.5" thickBot="1" x14ac:dyDescent="0.35">
      <c r="B362" s="20"/>
      <c r="C362" s="97" t="s">
        <v>177</v>
      </c>
      <c r="D362" s="98">
        <f t="shared" ref="D362:O362" si="116">SUM(D355:D361)</f>
        <v>113.40794920249999</v>
      </c>
      <c r="E362" s="98">
        <f t="shared" si="116"/>
        <v>113.40794920249999</v>
      </c>
      <c r="F362" s="98">
        <f t="shared" si="116"/>
        <v>113.40794920249999</v>
      </c>
      <c r="G362" s="98">
        <f t="shared" si="116"/>
        <v>113.40794920249999</v>
      </c>
      <c r="H362" s="98">
        <f t="shared" si="116"/>
        <v>113.40794920249999</v>
      </c>
      <c r="I362" s="98">
        <f t="shared" si="116"/>
        <v>113.40794920249999</v>
      </c>
      <c r="J362" s="98">
        <f t="shared" si="116"/>
        <v>118.95533602253467</v>
      </c>
      <c r="K362" s="98">
        <f t="shared" si="116"/>
        <v>116.05313113192526</v>
      </c>
      <c r="L362" s="98">
        <f t="shared" si="116"/>
        <v>133.31107294753508</v>
      </c>
      <c r="M362" s="98">
        <f t="shared" si="116"/>
        <v>124.15467192218827</v>
      </c>
      <c r="N362" s="98">
        <f t="shared" si="116"/>
        <v>119.50150672275763</v>
      </c>
      <c r="O362" s="98">
        <f t="shared" si="116"/>
        <v>118.20568856595416</v>
      </c>
      <c r="P362" s="98">
        <f t="shared" si="113"/>
        <v>1410.6291025278952</v>
      </c>
    </row>
    <row r="363" spans="1:16" x14ac:dyDescent="0.3">
      <c r="B363" s="20"/>
      <c r="C363" s="90" t="s">
        <v>178</v>
      </c>
      <c r="D363" s="62">
        <f>[7]Sheet3!$N$7/1000000</f>
        <v>0.21709562958333337</v>
      </c>
      <c r="E363" s="62">
        <f>D363</f>
        <v>0.21709562958333337</v>
      </c>
      <c r="F363" s="62">
        <f t="shared" ref="F363:O367" si="117">E363</f>
        <v>0.21709562958333337</v>
      </c>
      <c r="G363" s="62">
        <f t="shared" si="117"/>
        <v>0.21709562958333337</v>
      </c>
      <c r="H363" s="62">
        <f t="shared" si="117"/>
        <v>0.21709562958333337</v>
      </c>
      <c r="I363" s="62">
        <f t="shared" si="117"/>
        <v>0.21709562958333337</v>
      </c>
      <c r="J363" s="62">
        <f t="shared" si="117"/>
        <v>0.21709562958333337</v>
      </c>
      <c r="K363" s="62">
        <f t="shared" si="117"/>
        <v>0.21709562958333337</v>
      </c>
      <c r="L363" s="62">
        <f t="shared" si="117"/>
        <v>0.21709562958333337</v>
      </c>
      <c r="M363" s="62">
        <f t="shared" si="117"/>
        <v>0.21709562958333337</v>
      </c>
      <c r="N363" s="62">
        <f t="shared" si="117"/>
        <v>0.21709562958333337</v>
      </c>
      <c r="O363" s="62">
        <f t="shared" si="117"/>
        <v>0.21709562958333337</v>
      </c>
      <c r="P363" s="62">
        <f t="shared" si="113"/>
        <v>2.6051475550000003</v>
      </c>
    </row>
    <row r="364" spans="1:16" x14ac:dyDescent="0.3">
      <c r="B364" s="20"/>
      <c r="C364" s="90" t="s">
        <v>179</v>
      </c>
      <c r="D364" s="62">
        <f>('[9]Budget Benefit per cost center'!$E$10+'[9]Budget Benefit per cost center'!$F$10+'[9]Budget Benefit per cost center'!$G$10)/1000000</f>
        <v>15.162825846999999</v>
      </c>
      <c r="E364" s="62">
        <f>D364</f>
        <v>15.162825846999999</v>
      </c>
      <c r="F364" s="62">
        <f t="shared" si="117"/>
        <v>15.162825846999999</v>
      </c>
      <c r="G364" s="62">
        <f t="shared" si="117"/>
        <v>15.162825846999999</v>
      </c>
      <c r="H364" s="62">
        <f t="shared" si="117"/>
        <v>15.162825846999999</v>
      </c>
      <c r="I364" s="62">
        <f t="shared" si="117"/>
        <v>15.162825846999999</v>
      </c>
      <c r="J364" s="62">
        <f t="shared" si="117"/>
        <v>15.162825846999999</v>
      </c>
      <c r="K364" s="62">
        <f t="shared" si="117"/>
        <v>15.162825846999999</v>
      </c>
      <c r="L364" s="62">
        <f t="shared" si="117"/>
        <v>15.162825846999999</v>
      </c>
      <c r="M364" s="62">
        <f t="shared" si="117"/>
        <v>15.162825846999999</v>
      </c>
      <c r="N364" s="62">
        <f t="shared" si="117"/>
        <v>15.162825846999999</v>
      </c>
      <c r="O364" s="62">
        <f t="shared" si="117"/>
        <v>15.162825846999999</v>
      </c>
      <c r="P364" s="62">
        <f t="shared" si="113"/>
        <v>181.95391016399995</v>
      </c>
    </row>
    <row r="365" spans="1:16" x14ac:dyDescent="0.3">
      <c r="B365" s="20"/>
      <c r="C365" s="90" t="s">
        <v>180</v>
      </c>
      <c r="D365" s="62">
        <f>([7]Sheet3!$I$7+[7]Sheet3!$M$7)/1000000</f>
        <v>0.28551940833333334</v>
      </c>
      <c r="E365" s="62">
        <f>D365</f>
        <v>0.28551940833333334</v>
      </c>
      <c r="F365" s="62">
        <f t="shared" si="117"/>
        <v>0.28551940833333334</v>
      </c>
      <c r="G365" s="62">
        <f t="shared" si="117"/>
        <v>0.28551940833333334</v>
      </c>
      <c r="H365" s="62">
        <f t="shared" si="117"/>
        <v>0.28551940833333334</v>
      </c>
      <c r="I365" s="62">
        <f t="shared" si="117"/>
        <v>0.28551940833333334</v>
      </c>
      <c r="J365" s="62">
        <f t="shared" si="117"/>
        <v>0.28551940833333334</v>
      </c>
      <c r="K365" s="62">
        <f t="shared" si="117"/>
        <v>0.28551940833333334</v>
      </c>
      <c r="L365" s="62">
        <f t="shared" si="117"/>
        <v>0.28551940833333334</v>
      </c>
      <c r="M365" s="62">
        <f t="shared" si="117"/>
        <v>0.28551940833333334</v>
      </c>
      <c r="N365" s="62">
        <f t="shared" si="117"/>
        <v>0.28551940833333334</v>
      </c>
      <c r="O365" s="62">
        <f t="shared" si="117"/>
        <v>0.28551940833333334</v>
      </c>
      <c r="P365" s="62">
        <f t="shared" si="113"/>
        <v>3.4262328999999991</v>
      </c>
    </row>
    <row r="366" spans="1:16" x14ac:dyDescent="0.3">
      <c r="B366" s="20"/>
      <c r="C366" s="90" t="s">
        <v>181</v>
      </c>
      <c r="D366" s="62">
        <f>[7]Sheet3!$L$7/1000000</f>
        <v>0.31261770660000004</v>
      </c>
      <c r="E366" s="62">
        <f>D366</f>
        <v>0.31261770660000004</v>
      </c>
      <c r="F366" s="62">
        <f t="shared" si="117"/>
        <v>0.31261770660000004</v>
      </c>
      <c r="G366" s="62">
        <f t="shared" si="117"/>
        <v>0.31261770660000004</v>
      </c>
      <c r="H366" s="62">
        <f t="shared" si="117"/>
        <v>0.31261770660000004</v>
      </c>
      <c r="I366" s="62">
        <f t="shared" si="117"/>
        <v>0.31261770660000004</v>
      </c>
      <c r="J366" s="62">
        <f t="shared" si="117"/>
        <v>0.31261770660000004</v>
      </c>
      <c r="K366" s="62">
        <f t="shared" si="117"/>
        <v>0.31261770660000004</v>
      </c>
      <c r="L366" s="62">
        <f t="shared" si="117"/>
        <v>0.31261770660000004</v>
      </c>
      <c r="M366" s="62">
        <f t="shared" si="117"/>
        <v>0.31261770660000004</v>
      </c>
      <c r="N366" s="62">
        <f t="shared" si="117"/>
        <v>0.31261770660000004</v>
      </c>
      <c r="O366" s="62">
        <f t="shared" si="117"/>
        <v>0.31261770660000004</v>
      </c>
      <c r="P366" s="62">
        <f t="shared" si="113"/>
        <v>3.7514124792000012</v>
      </c>
    </row>
    <row r="367" spans="1:16" x14ac:dyDescent="0.3">
      <c r="B367" s="20"/>
      <c r="C367" s="90" t="s">
        <v>182</v>
      </c>
      <c r="D367" s="62">
        <f>('[9]Budget Benefit per cost center'!$C$10+('[9]Budget Benefit per cost center'!$D$10/12))/1000000+(([7]Sheet3!$J$7+[7]Sheet3!$K$7)/1000000)</f>
        <v>4.2486500000000005</v>
      </c>
      <c r="E367" s="62">
        <f>D367</f>
        <v>4.2486500000000005</v>
      </c>
      <c r="F367" s="62">
        <f t="shared" si="117"/>
        <v>4.2486500000000005</v>
      </c>
      <c r="G367" s="62">
        <f t="shared" si="117"/>
        <v>4.2486500000000005</v>
      </c>
      <c r="H367" s="62">
        <f t="shared" si="117"/>
        <v>4.2486500000000005</v>
      </c>
      <c r="I367" s="62">
        <f t="shared" si="117"/>
        <v>4.2486500000000005</v>
      </c>
      <c r="J367" s="62">
        <f t="shared" si="117"/>
        <v>4.2486500000000005</v>
      </c>
      <c r="K367" s="62">
        <f t="shared" si="117"/>
        <v>4.2486500000000005</v>
      </c>
      <c r="L367" s="62">
        <f t="shared" si="117"/>
        <v>4.2486500000000005</v>
      </c>
      <c r="M367" s="62">
        <f t="shared" si="117"/>
        <v>4.2486500000000005</v>
      </c>
      <c r="N367" s="62">
        <f t="shared" si="117"/>
        <v>4.2486500000000005</v>
      </c>
      <c r="O367" s="62">
        <f t="shared" si="117"/>
        <v>4.2486500000000005</v>
      </c>
      <c r="P367" s="62">
        <f t="shared" si="113"/>
        <v>50.983799999999995</v>
      </c>
    </row>
    <row r="368" spans="1:16" ht="13.5" thickBot="1" x14ac:dyDescent="0.35">
      <c r="A368" s="20"/>
      <c r="B368" s="20"/>
      <c r="C368" s="99" t="s">
        <v>183</v>
      </c>
      <c r="D368" s="100">
        <f t="shared" ref="D368:O368" si="118">SUM(D363:D367)</f>
        <v>20.226708591516665</v>
      </c>
      <c r="E368" s="100">
        <f t="shared" si="118"/>
        <v>20.226708591516665</v>
      </c>
      <c r="F368" s="100">
        <f t="shared" si="118"/>
        <v>20.226708591516665</v>
      </c>
      <c r="G368" s="100">
        <f t="shared" si="118"/>
        <v>20.226708591516665</v>
      </c>
      <c r="H368" s="100">
        <f t="shared" si="118"/>
        <v>20.226708591516665</v>
      </c>
      <c r="I368" s="100">
        <f t="shared" si="118"/>
        <v>20.226708591516665</v>
      </c>
      <c r="J368" s="100">
        <f t="shared" si="118"/>
        <v>20.226708591516665</v>
      </c>
      <c r="K368" s="100">
        <f t="shared" si="118"/>
        <v>20.226708591516665</v>
      </c>
      <c r="L368" s="100">
        <f t="shared" si="118"/>
        <v>20.226708591516665</v>
      </c>
      <c r="M368" s="100">
        <f t="shared" si="118"/>
        <v>20.226708591516665</v>
      </c>
      <c r="N368" s="100">
        <f t="shared" si="118"/>
        <v>20.226708591516665</v>
      </c>
      <c r="O368" s="100">
        <f t="shared" si="118"/>
        <v>20.226708591516665</v>
      </c>
      <c r="P368" s="100">
        <f t="shared" si="113"/>
        <v>242.72050309819994</v>
      </c>
    </row>
    <row r="369" spans="1:16" ht="13.5" thickBot="1" x14ac:dyDescent="0.35">
      <c r="A369" s="20"/>
      <c r="B369" s="20"/>
      <c r="C369" s="92" t="s">
        <v>184</v>
      </c>
      <c r="D369" s="93">
        <f t="shared" ref="D369:P369" si="119">D334+D354+D362+D368</f>
        <v>138.00732379401666</v>
      </c>
      <c r="E369" s="93">
        <f t="shared" si="119"/>
        <v>139.00732379401666</v>
      </c>
      <c r="F369" s="93">
        <f t="shared" si="119"/>
        <v>139.00732379401666</v>
      </c>
      <c r="G369" s="93">
        <f t="shared" si="119"/>
        <v>139.00732379401666</v>
      </c>
      <c r="H369" s="93">
        <f t="shared" si="119"/>
        <v>139.00732379401666</v>
      </c>
      <c r="I369" s="93">
        <f t="shared" si="119"/>
        <v>139.00732379401666</v>
      </c>
      <c r="J369" s="93">
        <f t="shared" si="119"/>
        <v>144.55471061405132</v>
      </c>
      <c r="K369" s="93">
        <f t="shared" si="119"/>
        <v>141.65250572344192</v>
      </c>
      <c r="L369" s="93">
        <f t="shared" si="119"/>
        <v>158.91044753905175</v>
      </c>
      <c r="M369" s="93">
        <f t="shared" si="119"/>
        <v>149.75404651370494</v>
      </c>
      <c r="N369" s="93">
        <f t="shared" si="119"/>
        <v>145.10088131427429</v>
      </c>
      <c r="O369" s="93">
        <f t="shared" si="119"/>
        <v>143.80506315747081</v>
      </c>
      <c r="P369" s="93">
        <f t="shared" si="119"/>
        <v>1716.8215976260951</v>
      </c>
    </row>
    <row r="370" spans="1:16" ht="13.5" thickBot="1" x14ac:dyDescent="0.35">
      <c r="C370" s="118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</row>
    <row r="371" spans="1:16" ht="13.5" thickBot="1" x14ac:dyDescent="0.35">
      <c r="C371" s="119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</row>
    <row r="372" spans="1:16" ht="14" thickTop="1" thickBot="1" x14ac:dyDescent="0.35">
      <c r="C372" s="121" t="s">
        <v>248</v>
      </c>
      <c r="D372" s="122">
        <f>D369+D371</f>
        <v>138.00732379401666</v>
      </c>
      <c r="E372" s="122">
        <f t="shared" ref="E372:P372" si="120">E369+E371</f>
        <v>139.00732379401666</v>
      </c>
      <c r="F372" s="122">
        <f t="shared" si="120"/>
        <v>139.00732379401666</v>
      </c>
      <c r="G372" s="122">
        <f t="shared" si="120"/>
        <v>139.00732379401666</v>
      </c>
      <c r="H372" s="122">
        <f t="shared" si="120"/>
        <v>139.00732379401666</v>
      </c>
      <c r="I372" s="122">
        <f t="shared" si="120"/>
        <v>139.00732379401666</v>
      </c>
      <c r="J372" s="122">
        <f t="shared" si="120"/>
        <v>144.55471061405132</v>
      </c>
      <c r="K372" s="122">
        <f t="shared" si="120"/>
        <v>141.65250572344192</v>
      </c>
      <c r="L372" s="122">
        <f t="shared" si="120"/>
        <v>158.91044753905175</v>
      </c>
      <c r="M372" s="122">
        <f t="shared" si="120"/>
        <v>149.75404651370494</v>
      </c>
      <c r="N372" s="122">
        <f t="shared" si="120"/>
        <v>145.10088131427429</v>
      </c>
      <c r="O372" s="122">
        <f t="shared" si="120"/>
        <v>143.80506315747081</v>
      </c>
      <c r="P372" s="122">
        <f t="shared" si="120"/>
        <v>1716.8215976260951</v>
      </c>
    </row>
    <row r="373" spans="1:16" ht="13.5" thickTop="1" x14ac:dyDescent="0.3">
      <c r="C373" s="123" t="s">
        <v>250</v>
      </c>
      <c r="D373" s="124" t="e">
        <f t="shared" ref="D373:P373" si="121">D372/D328</f>
        <v>#DIV/0!</v>
      </c>
      <c r="E373" s="124" t="e">
        <f t="shared" si="121"/>
        <v>#DIV/0!</v>
      </c>
      <c r="F373" s="124" t="e">
        <f t="shared" si="121"/>
        <v>#DIV/0!</v>
      </c>
      <c r="G373" s="124" t="e">
        <f t="shared" si="121"/>
        <v>#DIV/0!</v>
      </c>
      <c r="H373" s="124" t="e">
        <f t="shared" si="121"/>
        <v>#DIV/0!</v>
      </c>
      <c r="I373" s="124" t="e">
        <f t="shared" si="121"/>
        <v>#DIV/0!</v>
      </c>
      <c r="J373" s="124" t="e">
        <f t="shared" si="121"/>
        <v>#DIV/0!</v>
      </c>
      <c r="K373" s="124" t="e">
        <f t="shared" si="121"/>
        <v>#DIV/0!</v>
      </c>
      <c r="L373" s="124" t="e">
        <f t="shared" si="121"/>
        <v>#DIV/0!</v>
      </c>
      <c r="M373" s="124" t="e">
        <f t="shared" si="121"/>
        <v>#DIV/0!</v>
      </c>
      <c r="N373" s="124" t="e">
        <f t="shared" si="121"/>
        <v>#DIV/0!</v>
      </c>
      <c r="O373" s="124" t="e">
        <f t="shared" si="121"/>
        <v>#DIV/0!</v>
      </c>
      <c r="P373" s="124" t="e">
        <f t="shared" si="121"/>
        <v>#DIV/0!</v>
      </c>
    </row>
    <row r="374" spans="1:16" x14ac:dyDescent="0.3">
      <c r="C374" s="125"/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</row>
    <row r="375" spans="1:16" ht="13.5" thickBot="1" x14ac:dyDescent="0.35">
      <c r="C375" s="66" t="s">
        <v>252</v>
      </c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</row>
    <row r="376" spans="1:16" ht="13.5" customHeight="1" thickBot="1" x14ac:dyDescent="0.35">
      <c r="C376" s="23" t="s">
        <v>69</v>
      </c>
      <c r="D376" s="24" t="s">
        <v>70</v>
      </c>
      <c r="E376" s="24" t="s">
        <v>71</v>
      </c>
      <c r="F376" s="24" t="s">
        <v>72</v>
      </c>
      <c r="G376" s="24" t="s">
        <v>73</v>
      </c>
      <c r="H376" s="24" t="s">
        <v>74</v>
      </c>
      <c r="I376" s="24" t="s">
        <v>75</v>
      </c>
      <c r="J376" s="24" t="s">
        <v>76</v>
      </c>
      <c r="K376" s="24" t="s">
        <v>77</v>
      </c>
      <c r="L376" s="24" t="s">
        <v>78</v>
      </c>
      <c r="M376" s="24" t="s">
        <v>79</v>
      </c>
      <c r="N376" s="24" t="s">
        <v>80</v>
      </c>
      <c r="O376" s="24" t="s">
        <v>81</v>
      </c>
      <c r="P376" s="25" t="s">
        <v>110</v>
      </c>
    </row>
    <row r="377" spans="1:16" ht="13.5" thickBot="1" x14ac:dyDescent="0.35">
      <c r="C377" s="116" t="s">
        <v>247</v>
      </c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</row>
    <row r="378" spans="1:16" x14ac:dyDescent="0.3">
      <c r="C378" s="86"/>
      <c r="D378" s="87"/>
      <c r="E378" s="88"/>
      <c r="F378" s="89"/>
      <c r="G378" s="89"/>
      <c r="H378" s="89"/>
      <c r="I378" s="89"/>
      <c r="J378" s="89"/>
      <c r="K378" s="89"/>
      <c r="L378" s="87"/>
      <c r="M378" s="89"/>
      <c r="N378" s="89"/>
      <c r="O378" s="89"/>
      <c r="P378" s="89"/>
    </row>
    <row r="379" spans="1:16" x14ac:dyDescent="0.3">
      <c r="C379" s="90" t="s">
        <v>147</v>
      </c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>
        <f t="shared" ref="P379:P381" si="122">D379+E379+F379+G379+H379+I379+J379+K379+L379+M379+N379+O379</f>
        <v>0</v>
      </c>
    </row>
    <row r="380" spans="1:16" x14ac:dyDescent="0.3">
      <c r="C380" s="33" t="s">
        <v>148</v>
      </c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>
        <f t="shared" si="122"/>
        <v>0</v>
      </c>
    </row>
    <row r="381" spans="1:16" x14ac:dyDescent="0.3">
      <c r="C381" s="90" t="s">
        <v>149</v>
      </c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>
        <f t="shared" si="122"/>
        <v>0</v>
      </c>
    </row>
    <row r="382" spans="1:16" ht="13.5" thickBot="1" x14ac:dyDescent="0.35">
      <c r="C382" s="90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</row>
    <row r="383" spans="1:16" ht="13.5" thickBot="1" x14ac:dyDescent="0.35">
      <c r="A383" s="20"/>
      <c r="B383" s="20"/>
      <c r="C383" s="92" t="s">
        <v>150</v>
      </c>
      <c r="D383" s="93">
        <f t="shared" ref="D383:P383" si="123">SUM(D379:D382)</f>
        <v>0</v>
      </c>
      <c r="E383" s="93">
        <f t="shared" si="123"/>
        <v>0</v>
      </c>
      <c r="F383" s="93">
        <f t="shared" si="123"/>
        <v>0</v>
      </c>
      <c r="G383" s="93">
        <f t="shared" si="123"/>
        <v>0</v>
      </c>
      <c r="H383" s="93">
        <f t="shared" si="123"/>
        <v>0</v>
      </c>
      <c r="I383" s="93">
        <f t="shared" si="123"/>
        <v>0</v>
      </c>
      <c r="J383" s="93">
        <f t="shared" si="123"/>
        <v>0</v>
      </c>
      <c r="K383" s="93">
        <f t="shared" si="123"/>
        <v>0</v>
      </c>
      <c r="L383" s="93">
        <f t="shared" si="123"/>
        <v>0</v>
      </c>
      <c r="M383" s="93">
        <f t="shared" si="123"/>
        <v>0</v>
      </c>
      <c r="N383" s="93">
        <f t="shared" si="123"/>
        <v>0</v>
      </c>
      <c r="O383" s="93">
        <f t="shared" si="123"/>
        <v>0</v>
      </c>
      <c r="P383" s="93">
        <f t="shared" si="123"/>
        <v>0</v>
      </c>
    </row>
    <row r="384" spans="1:16" x14ac:dyDescent="0.3">
      <c r="C384" s="94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43"/>
    </row>
    <row r="385" spans="2:16" x14ac:dyDescent="0.3">
      <c r="C385" s="90" t="s">
        <v>151</v>
      </c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62">
        <f t="shared" ref="P385:P402" si="124">D385+E385+F385+G385+H385+I385+J385+K385+L385+M385+N385+O385</f>
        <v>0</v>
      </c>
    </row>
    <row r="386" spans="2:16" x14ac:dyDescent="0.3">
      <c r="C386" s="90" t="s">
        <v>152</v>
      </c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62">
        <f t="shared" si="124"/>
        <v>0</v>
      </c>
    </row>
    <row r="387" spans="2:16" x14ac:dyDescent="0.3">
      <c r="C387" s="90" t="s">
        <v>153</v>
      </c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62">
        <f t="shared" si="124"/>
        <v>0</v>
      </c>
    </row>
    <row r="388" spans="2:16" x14ac:dyDescent="0.3">
      <c r="C388" s="90" t="s">
        <v>154</v>
      </c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62">
        <f t="shared" si="124"/>
        <v>0</v>
      </c>
    </row>
    <row r="389" spans="2:16" x14ac:dyDescent="0.3">
      <c r="C389" s="90" t="s">
        <v>155</v>
      </c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62">
        <f t="shared" si="124"/>
        <v>0</v>
      </c>
    </row>
    <row r="390" spans="2:16" x14ac:dyDescent="0.3">
      <c r="C390" s="90" t="s">
        <v>156</v>
      </c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62">
        <f t="shared" si="124"/>
        <v>0</v>
      </c>
    </row>
    <row r="391" spans="2:16" x14ac:dyDescent="0.3">
      <c r="C391" s="90" t="s">
        <v>157</v>
      </c>
      <c r="D391" s="103">
        <f>[15]Sheet1!$D$380/1000000</f>
        <v>0</v>
      </c>
      <c r="E391" s="103">
        <f>[15]Sheet1!$D$380/1000000</f>
        <v>0</v>
      </c>
      <c r="F391" s="103">
        <f>[15]Sheet1!$D$380/1000000</f>
        <v>0</v>
      </c>
      <c r="G391" s="103">
        <f>[15]Sheet1!$D$380/1000000</f>
        <v>0</v>
      </c>
      <c r="H391" s="103">
        <f>[15]Sheet1!$D$380/1000000</f>
        <v>0</v>
      </c>
      <c r="I391" s="103">
        <f>[15]Sheet1!$D$380/1000000</f>
        <v>0</v>
      </c>
      <c r="J391" s="103">
        <f>[15]Sheet1!$D$380/1000000</f>
        <v>0</v>
      </c>
      <c r="K391" s="103">
        <f>[15]Sheet1!$D$380/1000000</f>
        <v>0</v>
      </c>
      <c r="L391" s="103">
        <f>[15]Sheet1!$D$380/1000000</f>
        <v>0</v>
      </c>
      <c r="M391" s="103">
        <f>[15]Sheet1!$D$380/1000000</f>
        <v>0</v>
      </c>
      <c r="N391" s="103">
        <f>[15]Sheet1!$D$380/1000000</f>
        <v>0</v>
      </c>
      <c r="O391" s="103">
        <f>[15]Sheet1!$D$380/1000000</f>
        <v>0</v>
      </c>
      <c r="P391" s="62">
        <f t="shared" si="124"/>
        <v>0</v>
      </c>
    </row>
    <row r="392" spans="2:16" x14ac:dyDescent="0.3">
      <c r="B392" s="20"/>
      <c r="C392" s="90" t="s">
        <v>158</v>
      </c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62">
        <f t="shared" si="124"/>
        <v>0</v>
      </c>
    </row>
    <row r="393" spans="2:16" x14ac:dyDescent="0.3">
      <c r="C393" s="90" t="s">
        <v>159</v>
      </c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62">
        <f t="shared" si="124"/>
        <v>0</v>
      </c>
    </row>
    <row r="394" spans="2:16" x14ac:dyDescent="0.3">
      <c r="C394" s="90" t="s">
        <v>160</v>
      </c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62">
        <f t="shared" si="124"/>
        <v>0</v>
      </c>
    </row>
    <row r="395" spans="2:16" x14ac:dyDescent="0.3">
      <c r="C395" s="90" t="s">
        <v>161</v>
      </c>
      <c r="D395" s="103">
        <f>'[13]Budget Depre'!E15/1000000</f>
        <v>0</v>
      </c>
      <c r="E395" s="103">
        <f>'[13]Budget Depre'!F15/1000000</f>
        <v>0</v>
      </c>
      <c r="F395" s="103">
        <f>'[13]Budget Depre'!G15/1000000</f>
        <v>0</v>
      </c>
      <c r="G395" s="103">
        <f>'[13]Budget Depre'!H15/1000000</f>
        <v>0</v>
      </c>
      <c r="H395" s="103">
        <f>'[13]Budget Depre'!I15/1000000</f>
        <v>0</v>
      </c>
      <c r="I395" s="103">
        <f>'[13]Budget Depre'!J15/1000000</f>
        <v>0</v>
      </c>
      <c r="J395" s="103">
        <f>'[13]Budget Depre'!K15/1000000</f>
        <v>0</v>
      </c>
      <c r="K395" s="103">
        <f>'[13]Budget Depre'!L15/1000000</f>
        <v>0</v>
      </c>
      <c r="L395" s="103">
        <f>'[13]Budget Depre'!M15/1000000</f>
        <v>0</v>
      </c>
      <c r="M395" s="103">
        <f>'[13]Budget Depre'!N15/1000000</f>
        <v>0</v>
      </c>
      <c r="N395" s="103">
        <f>'[13]Budget Depre'!O15/1000000</f>
        <v>0</v>
      </c>
      <c r="O395" s="103">
        <f>'[13]Budget Depre'!P15/1000000</f>
        <v>0</v>
      </c>
      <c r="P395" s="62">
        <f t="shared" si="124"/>
        <v>0</v>
      </c>
    </row>
    <row r="396" spans="2:16" x14ac:dyDescent="0.3">
      <c r="C396" s="90" t="s">
        <v>162</v>
      </c>
      <c r="D396" s="103">
        <f>'[13]Budget Depre'!E16/1000000</f>
        <v>0</v>
      </c>
      <c r="E396" s="103">
        <f>'[13]Budget Depre'!F16/1000000</f>
        <v>0</v>
      </c>
      <c r="F396" s="103">
        <f>'[13]Budget Depre'!G16/1000000</f>
        <v>0</v>
      </c>
      <c r="G396" s="103">
        <f>'[13]Budget Depre'!H16/1000000</f>
        <v>0</v>
      </c>
      <c r="H396" s="103">
        <f>'[13]Budget Depre'!I16/1000000</f>
        <v>0</v>
      </c>
      <c r="I396" s="103">
        <f>'[13]Budget Depre'!J16/1000000</f>
        <v>0</v>
      </c>
      <c r="J396" s="103">
        <f>'[13]Budget Depre'!K16/1000000</f>
        <v>0</v>
      </c>
      <c r="K396" s="103">
        <f>'[13]Budget Depre'!L16/1000000</f>
        <v>0</v>
      </c>
      <c r="L396" s="103">
        <f>'[13]Budget Depre'!M16/1000000</f>
        <v>0</v>
      </c>
      <c r="M396" s="103">
        <f>'[13]Budget Depre'!N16/1000000</f>
        <v>0</v>
      </c>
      <c r="N396" s="103">
        <f>'[13]Budget Depre'!O16/1000000</f>
        <v>0</v>
      </c>
      <c r="O396" s="103">
        <f>'[13]Budget Depre'!P16/1000000</f>
        <v>0</v>
      </c>
      <c r="P396" s="62">
        <f t="shared" si="124"/>
        <v>0</v>
      </c>
    </row>
    <row r="397" spans="2:16" x14ac:dyDescent="0.3">
      <c r="C397" s="90" t="s">
        <v>163</v>
      </c>
      <c r="D397" s="103">
        <f>'[13]Budget Depre'!E17/1000000</f>
        <v>0</v>
      </c>
      <c r="E397" s="103">
        <f>'[13]Budget Depre'!F17/1000000</f>
        <v>0</v>
      </c>
      <c r="F397" s="103">
        <f>'[13]Budget Depre'!G17/1000000</f>
        <v>0</v>
      </c>
      <c r="G397" s="103">
        <f>'[13]Budget Depre'!H17/1000000</f>
        <v>0</v>
      </c>
      <c r="H397" s="103">
        <f>'[13]Budget Depre'!I17/1000000</f>
        <v>0</v>
      </c>
      <c r="I397" s="103">
        <f>'[13]Budget Depre'!J17/1000000</f>
        <v>0</v>
      </c>
      <c r="J397" s="103">
        <f>'[13]Budget Depre'!K17/1000000</f>
        <v>0</v>
      </c>
      <c r="K397" s="103">
        <f>'[13]Budget Depre'!L17/1000000</f>
        <v>0</v>
      </c>
      <c r="L397" s="103">
        <f>'[13]Budget Depre'!M17/1000000</f>
        <v>0</v>
      </c>
      <c r="M397" s="103">
        <f>'[13]Budget Depre'!N17/1000000</f>
        <v>0</v>
      </c>
      <c r="N397" s="103">
        <f>'[13]Budget Depre'!O17/1000000</f>
        <v>0</v>
      </c>
      <c r="O397" s="103">
        <f>'[13]Budget Depre'!P17/1000000</f>
        <v>0</v>
      </c>
      <c r="P397" s="62">
        <f t="shared" si="124"/>
        <v>0</v>
      </c>
    </row>
    <row r="398" spans="2:16" x14ac:dyDescent="0.3">
      <c r="C398" s="90" t="s">
        <v>164</v>
      </c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62">
        <f t="shared" si="124"/>
        <v>0</v>
      </c>
    </row>
    <row r="399" spans="2:16" x14ac:dyDescent="0.3">
      <c r="C399" s="90" t="s">
        <v>165</v>
      </c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62">
        <f t="shared" si="124"/>
        <v>0</v>
      </c>
    </row>
    <row r="400" spans="2:16" x14ac:dyDescent="0.3">
      <c r="C400" s="90" t="s">
        <v>166</v>
      </c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62">
        <f t="shared" si="124"/>
        <v>0</v>
      </c>
    </row>
    <row r="401" spans="2:16" x14ac:dyDescent="0.3">
      <c r="C401" s="90" t="s">
        <v>167</v>
      </c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62">
        <f t="shared" si="124"/>
        <v>0</v>
      </c>
    </row>
    <row r="402" spans="2:16" ht="13.5" thickBot="1" x14ac:dyDescent="0.35">
      <c r="C402" s="90" t="s">
        <v>168</v>
      </c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62">
        <f t="shared" si="124"/>
        <v>0</v>
      </c>
    </row>
    <row r="403" spans="2:16" ht="13.5" thickBot="1" x14ac:dyDescent="0.35">
      <c r="B403" s="20"/>
      <c r="C403" s="95" t="s">
        <v>169</v>
      </c>
      <c r="D403" s="93">
        <f t="shared" ref="D403:P403" si="125">SUM(D385:D402)</f>
        <v>0</v>
      </c>
      <c r="E403" s="93">
        <f t="shared" si="125"/>
        <v>0</v>
      </c>
      <c r="F403" s="93">
        <f t="shared" si="125"/>
        <v>0</v>
      </c>
      <c r="G403" s="93">
        <f t="shared" si="125"/>
        <v>0</v>
      </c>
      <c r="H403" s="93">
        <f t="shared" si="125"/>
        <v>0</v>
      </c>
      <c r="I403" s="93">
        <f t="shared" si="125"/>
        <v>0</v>
      </c>
      <c r="J403" s="93">
        <f t="shared" si="125"/>
        <v>0</v>
      </c>
      <c r="K403" s="93">
        <f t="shared" si="125"/>
        <v>0</v>
      </c>
      <c r="L403" s="93">
        <f t="shared" si="125"/>
        <v>0</v>
      </c>
      <c r="M403" s="93">
        <f t="shared" si="125"/>
        <v>0</v>
      </c>
      <c r="N403" s="93">
        <f t="shared" si="125"/>
        <v>0</v>
      </c>
      <c r="O403" s="93">
        <f t="shared" si="125"/>
        <v>0</v>
      </c>
      <c r="P403" s="93">
        <f t="shared" si="125"/>
        <v>0</v>
      </c>
    </row>
    <row r="404" spans="2:16" x14ac:dyDescent="0.3">
      <c r="C404" s="90" t="s">
        <v>170</v>
      </c>
      <c r="D404" s="62">
        <f>'[8]Budget Upah per cost center'!$C$11/1000000</f>
        <v>42.128450999999998</v>
      </c>
      <c r="E404" s="62">
        <f>D404</f>
        <v>42.128450999999998</v>
      </c>
      <c r="F404" s="62">
        <f t="shared" ref="F404:O404" si="126">E404</f>
        <v>42.128450999999998</v>
      </c>
      <c r="G404" s="62">
        <f t="shared" si="126"/>
        <v>42.128450999999998</v>
      </c>
      <c r="H404" s="62">
        <f t="shared" si="126"/>
        <v>42.128450999999998</v>
      </c>
      <c r="I404" s="62">
        <f t="shared" si="126"/>
        <v>42.128450999999998</v>
      </c>
      <c r="J404" s="62">
        <f t="shared" si="126"/>
        <v>42.128450999999998</v>
      </c>
      <c r="K404" s="62">
        <f t="shared" si="126"/>
        <v>42.128450999999998</v>
      </c>
      <c r="L404" s="62">
        <f t="shared" si="126"/>
        <v>42.128450999999998</v>
      </c>
      <c r="M404" s="62">
        <f t="shared" si="126"/>
        <v>42.128450999999998</v>
      </c>
      <c r="N404" s="62">
        <f t="shared" si="126"/>
        <v>42.128450999999998</v>
      </c>
      <c r="O404" s="62">
        <f t="shared" si="126"/>
        <v>42.128450999999998</v>
      </c>
      <c r="P404" s="62">
        <f t="shared" ref="P404:P417" si="127">D404+E404+F404+G404+H404+I404+J404+K404+L404+M404+N404+O404</f>
        <v>505.54141199999987</v>
      </c>
    </row>
    <row r="405" spans="2:16" x14ac:dyDescent="0.3">
      <c r="C405" s="90" t="s">
        <v>171</v>
      </c>
      <c r="D405" s="62">
        <f>'[16]LEMBUR MO'!N7/1000000</f>
        <v>0</v>
      </c>
      <c r="E405" s="62">
        <f>'[16]LEMBUR MO'!O7/1000000</f>
        <v>0</v>
      </c>
      <c r="F405" s="62">
        <f>'[16]LEMBUR MO'!P7/1000000</f>
        <v>0</v>
      </c>
      <c r="G405" s="62">
        <f>'[16]LEMBUR MO'!Q7/1000000</f>
        <v>0</v>
      </c>
      <c r="H405" s="62">
        <f>'[16]LEMBUR MO'!R7/1000000</f>
        <v>0</v>
      </c>
      <c r="I405" s="62">
        <f>'[16]LEMBUR MO'!S7/1000000</f>
        <v>0</v>
      </c>
      <c r="J405" s="62">
        <f>'[16]LEMBUR MO'!T7/1000000</f>
        <v>0</v>
      </c>
      <c r="K405" s="62">
        <f>'[16]LEMBUR MO'!U7/1000000</f>
        <v>0</v>
      </c>
      <c r="L405" s="62">
        <f>'[16]LEMBUR MO'!V7/1000000</f>
        <v>0</v>
      </c>
      <c r="M405" s="62">
        <f>'[16]LEMBUR MO'!W7/1000000</f>
        <v>0</v>
      </c>
      <c r="N405" s="62">
        <f>'[16]LEMBUR MO'!X7/1000000</f>
        <v>0</v>
      </c>
      <c r="O405" s="62">
        <f>'[16]LEMBUR MO'!Y7/1000000</f>
        <v>0</v>
      </c>
      <c r="P405" s="62">
        <f t="shared" si="127"/>
        <v>0</v>
      </c>
    </row>
    <row r="406" spans="2:16" x14ac:dyDescent="0.3">
      <c r="C406" s="90" t="s">
        <v>172</v>
      </c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>
        <f t="shared" si="127"/>
        <v>0</v>
      </c>
    </row>
    <row r="407" spans="2:16" x14ac:dyDescent="0.3">
      <c r="C407" s="90" t="s">
        <v>173</v>
      </c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>
        <f t="shared" si="127"/>
        <v>0</v>
      </c>
    </row>
    <row r="408" spans="2:16" x14ac:dyDescent="0.3">
      <c r="C408" s="90" t="s">
        <v>174</v>
      </c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>
        <f t="shared" si="127"/>
        <v>0</v>
      </c>
    </row>
    <row r="409" spans="2:16" x14ac:dyDescent="0.3">
      <c r="C409" s="90" t="s">
        <v>175</v>
      </c>
      <c r="D409" s="62">
        <f>('[8]Budget Upah per cost center'!$D$11/12)/1000000</f>
        <v>3.5107042499999999</v>
      </c>
      <c r="E409" s="62">
        <f>D409</f>
        <v>3.5107042499999999</v>
      </c>
      <c r="F409" s="62">
        <f t="shared" ref="F409:O409" si="128">E409</f>
        <v>3.5107042499999999</v>
      </c>
      <c r="G409" s="62">
        <f t="shared" si="128"/>
        <v>3.5107042499999999</v>
      </c>
      <c r="H409" s="62">
        <f t="shared" si="128"/>
        <v>3.5107042499999999</v>
      </c>
      <c r="I409" s="62">
        <f t="shared" si="128"/>
        <v>3.5107042499999999</v>
      </c>
      <c r="J409" s="62">
        <f t="shared" si="128"/>
        <v>3.5107042499999999</v>
      </c>
      <c r="K409" s="62">
        <f t="shared" si="128"/>
        <v>3.5107042499999999</v>
      </c>
      <c r="L409" s="62">
        <f t="shared" si="128"/>
        <v>3.5107042499999999</v>
      </c>
      <c r="M409" s="62">
        <f t="shared" si="128"/>
        <v>3.5107042499999999</v>
      </c>
      <c r="N409" s="62">
        <f t="shared" si="128"/>
        <v>3.5107042499999999</v>
      </c>
      <c r="O409" s="62">
        <f t="shared" si="128"/>
        <v>3.5107042499999999</v>
      </c>
      <c r="P409" s="62">
        <f t="shared" si="127"/>
        <v>42.128450999999998</v>
      </c>
    </row>
    <row r="410" spans="2:16" ht="13.5" thickBot="1" x14ac:dyDescent="0.35">
      <c r="C410" s="90" t="s">
        <v>176</v>
      </c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>
        <f t="shared" si="127"/>
        <v>0</v>
      </c>
    </row>
    <row r="411" spans="2:16" ht="13.5" thickBot="1" x14ac:dyDescent="0.35">
      <c r="B411" s="20"/>
      <c r="C411" s="97" t="s">
        <v>177</v>
      </c>
      <c r="D411" s="98">
        <f t="shared" ref="D411:O411" si="129">SUM(D404:D410)</f>
        <v>45.639155250000002</v>
      </c>
      <c r="E411" s="98">
        <f t="shared" si="129"/>
        <v>45.639155250000002</v>
      </c>
      <c r="F411" s="98">
        <f t="shared" si="129"/>
        <v>45.639155250000002</v>
      </c>
      <c r="G411" s="98">
        <f t="shared" si="129"/>
        <v>45.639155250000002</v>
      </c>
      <c r="H411" s="98">
        <f t="shared" si="129"/>
        <v>45.639155250000002</v>
      </c>
      <c r="I411" s="98">
        <f t="shared" si="129"/>
        <v>45.639155250000002</v>
      </c>
      <c r="J411" s="98">
        <f t="shared" si="129"/>
        <v>45.639155250000002</v>
      </c>
      <c r="K411" s="98">
        <f t="shared" si="129"/>
        <v>45.639155250000002</v>
      </c>
      <c r="L411" s="98">
        <f t="shared" si="129"/>
        <v>45.639155250000002</v>
      </c>
      <c r="M411" s="98">
        <f t="shared" si="129"/>
        <v>45.639155250000002</v>
      </c>
      <c r="N411" s="98">
        <f t="shared" si="129"/>
        <v>45.639155250000002</v>
      </c>
      <c r="O411" s="98">
        <f t="shared" si="129"/>
        <v>45.639155250000002</v>
      </c>
      <c r="P411" s="98">
        <f t="shared" si="127"/>
        <v>547.66986299999996</v>
      </c>
    </row>
    <row r="412" spans="2:16" x14ac:dyDescent="0.3">
      <c r="B412" s="20"/>
      <c r="C412" s="90" t="s">
        <v>178</v>
      </c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>
        <f t="shared" si="127"/>
        <v>0</v>
      </c>
    </row>
    <row r="413" spans="2:16" x14ac:dyDescent="0.3">
      <c r="B413" s="20"/>
      <c r="C413" s="90" t="s">
        <v>179</v>
      </c>
      <c r="D413" s="62">
        <f>('[9]Budget Benefit per cost center'!$E$11+'[9]Budget Benefit per cost center'!$F$11+'[9]Budget Benefit per cost center'!$G$11)/1000000</f>
        <v>6.4892638589999994</v>
      </c>
      <c r="E413" s="62">
        <f>D413</f>
        <v>6.4892638589999994</v>
      </c>
      <c r="F413" s="62">
        <f t="shared" ref="F413:O413" si="130">E413</f>
        <v>6.4892638589999994</v>
      </c>
      <c r="G413" s="62">
        <f t="shared" si="130"/>
        <v>6.4892638589999994</v>
      </c>
      <c r="H413" s="62">
        <f t="shared" si="130"/>
        <v>6.4892638589999994</v>
      </c>
      <c r="I413" s="62">
        <f t="shared" si="130"/>
        <v>6.4892638589999994</v>
      </c>
      <c r="J413" s="62">
        <f t="shared" si="130"/>
        <v>6.4892638589999994</v>
      </c>
      <c r="K413" s="62">
        <f t="shared" si="130"/>
        <v>6.4892638589999994</v>
      </c>
      <c r="L413" s="62">
        <f t="shared" si="130"/>
        <v>6.4892638589999994</v>
      </c>
      <c r="M413" s="62">
        <f t="shared" si="130"/>
        <v>6.4892638589999994</v>
      </c>
      <c r="N413" s="62">
        <f t="shared" si="130"/>
        <v>6.4892638589999994</v>
      </c>
      <c r="O413" s="62">
        <f t="shared" si="130"/>
        <v>6.4892638589999994</v>
      </c>
      <c r="P413" s="62">
        <f t="shared" si="127"/>
        <v>77.871166307999999</v>
      </c>
    </row>
    <row r="414" spans="2:16" x14ac:dyDescent="0.3">
      <c r="B414" s="20"/>
      <c r="C414" s="90" t="s">
        <v>180</v>
      </c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>
        <f t="shared" si="127"/>
        <v>0</v>
      </c>
    </row>
    <row r="415" spans="2:16" x14ac:dyDescent="0.3">
      <c r="B415" s="20"/>
      <c r="C415" s="90" t="s">
        <v>181</v>
      </c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>
        <f t="shared" si="127"/>
        <v>0</v>
      </c>
    </row>
    <row r="416" spans="2:16" x14ac:dyDescent="0.3">
      <c r="B416" s="20"/>
      <c r="C416" s="90" t="s">
        <v>182</v>
      </c>
      <c r="D416" s="62">
        <f>('[9]Budget Benefit per cost center'!$C$11+('[9]Budget Benefit per cost center'!$D$11/12))/1000000</f>
        <v>1.6155333333333333</v>
      </c>
      <c r="E416" s="62">
        <f>D416</f>
        <v>1.6155333333333333</v>
      </c>
      <c r="F416" s="62">
        <f t="shared" ref="F416:O416" si="131">E416</f>
        <v>1.6155333333333333</v>
      </c>
      <c r="G416" s="62">
        <f t="shared" si="131"/>
        <v>1.6155333333333333</v>
      </c>
      <c r="H416" s="62">
        <f t="shared" si="131"/>
        <v>1.6155333333333333</v>
      </c>
      <c r="I416" s="62">
        <f t="shared" si="131"/>
        <v>1.6155333333333333</v>
      </c>
      <c r="J416" s="62">
        <f t="shared" si="131"/>
        <v>1.6155333333333333</v>
      </c>
      <c r="K416" s="62">
        <f t="shared" si="131"/>
        <v>1.6155333333333333</v>
      </c>
      <c r="L416" s="62">
        <f t="shared" si="131"/>
        <v>1.6155333333333333</v>
      </c>
      <c r="M416" s="62">
        <f t="shared" si="131"/>
        <v>1.6155333333333333</v>
      </c>
      <c r="N416" s="62">
        <f t="shared" si="131"/>
        <v>1.6155333333333333</v>
      </c>
      <c r="O416" s="62">
        <f t="shared" si="131"/>
        <v>1.6155333333333333</v>
      </c>
      <c r="P416" s="62">
        <f t="shared" si="127"/>
        <v>19.386399999999995</v>
      </c>
    </row>
    <row r="417" spans="1:16" ht="13.5" thickBot="1" x14ac:dyDescent="0.35">
      <c r="A417" s="20"/>
      <c r="B417" s="20"/>
      <c r="C417" s="99" t="s">
        <v>183</v>
      </c>
      <c r="D417" s="100">
        <f t="shared" ref="D417:O417" si="132">SUM(D412:D416)</f>
        <v>8.1047971923333328</v>
      </c>
      <c r="E417" s="100">
        <f t="shared" si="132"/>
        <v>8.1047971923333328</v>
      </c>
      <c r="F417" s="100">
        <f t="shared" si="132"/>
        <v>8.1047971923333328</v>
      </c>
      <c r="G417" s="100">
        <f t="shared" si="132"/>
        <v>8.1047971923333328</v>
      </c>
      <c r="H417" s="100">
        <f t="shared" si="132"/>
        <v>8.1047971923333328</v>
      </c>
      <c r="I417" s="100">
        <f t="shared" si="132"/>
        <v>8.1047971923333328</v>
      </c>
      <c r="J417" s="100">
        <f t="shared" si="132"/>
        <v>8.1047971923333328</v>
      </c>
      <c r="K417" s="100">
        <f t="shared" si="132"/>
        <v>8.1047971923333328</v>
      </c>
      <c r="L417" s="100">
        <f t="shared" si="132"/>
        <v>8.1047971923333328</v>
      </c>
      <c r="M417" s="100">
        <f t="shared" si="132"/>
        <v>8.1047971923333328</v>
      </c>
      <c r="N417" s="100">
        <f t="shared" si="132"/>
        <v>8.1047971923333328</v>
      </c>
      <c r="O417" s="100">
        <f t="shared" si="132"/>
        <v>8.1047971923333328</v>
      </c>
      <c r="P417" s="100">
        <f t="shared" si="127"/>
        <v>97.257566308000023</v>
      </c>
    </row>
    <row r="418" spans="1:16" ht="13.5" thickBot="1" x14ac:dyDescent="0.35">
      <c r="A418" s="20"/>
      <c r="B418" s="20"/>
      <c r="C418" s="92" t="s">
        <v>184</v>
      </c>
      <c r="D418" s="93">
        <f t="shared" ref="D418:P418" si="133">D383+D403+D411+D417</f>
        <v>53.743952442333338</v>
      </c>
      <c r="E418" s="93">
        <f t="shared" si="133"/>
        <v>53.743952442333338</v>
      </c>
      <c r="F418" s="93">
        <f t="shared" si="133"/>
        <v>53.743952442333338</v>
      </c>
      <c r="G418" s="93">
        <f t="shared" si="133"/>
        <v>53.743952442333338</v>
      </c>
      <c r="H418" s="93">
        <f t="shared" si="133"/>
        <v>53.743952442333338</v>
      </c>
      <c r="I418" s="93">
        <f t="shared" si="133"/>
        <v>53.743952442333338</v>
      </c>
      <c r="J418" s="93">
        <f t="shared" si="133"/>
        <v>53.743952442333338</v>
      </c>
      <c r="K418" s="93">
        <f t="shared" si="133"/>
        <v>53.743952442333338</v>
      </c>
      <c r="L418" s="93">
        <f t="shared" si="133"/>
        <v>53.743952442333338</v>
      </c>
      <c r="M418" s="93">
        <f t="shared" si="133"/>
        <v>53.743952442333338</v>
      </c>
      <c r="N418" s="93">
        <f t="shared" si="133"/>
        <v>53.743952442333338</v>
      </c>
      <c r="O418" s="93">
        <f t="shared" si="133"/>
        <v>53.743952442333338</v>
      </c>
      <c r="P418" s="93">
        <f t="shared" si="133"/>
        <v>644.927429308</v>
      </c>
    </row>
    <row r="419" spans="1:16" ht="13.5" thickBot="1" x14ac:dyDescent="0.35">
      <c r="C419" s="118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</row>
    <row r="420" spans="1:16" ht="13.5" thickBot="1" x14ac:dyDescent="0.35">
      <c r="C420" s="119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</row>
    <row r="421" spans="1:16" ht="14" thickTop="1" thickBot="1" x14ac:dyDescent="0.35">
      <c r="C421" s="121" t="s">
        <v>248</v>
      </c>
      <c r="D421" s="122">
        <f>D418+D420</f>
        <v>53.743952442333338</v>
      </c>
      <c r="E421" s="122">
        <f t="shared" ref="E421:P421" si="134">E418+E420</f>
        <v>53.743952442333338</v>
      </c>
      <c r="F421" s="122">
        <f t="shared" si="134"/>
        <v>53.743952442333338</v>
      </c>
      <c r="G421" s="122">
        <f t="shared" si="134"/>
        <v>53.743952442333338</v>
      </c>
      <c r="H421" s="122">
        <f t="shared" si="134"/>
        <v>53.743952442333338</v>
      </c>
      <c r="I421" s="122">
        <f t="shared" si="134"/>
        <v>53.743952442333338</v>
      </c>
      <c r="J421" s="122">
        <f t="shared" si="134"/>
        <v>53.743952442333338</v>
      </c>
      <c r="K421" s="122">
        <f t="shared" si="134"/>
        <v>53.743952442333338</v>
      </c>
      <c r="L421" s="122">
        <f t="shared" si="134"/>
        <v>53.743952442333338</v>
      </c>
      <c r="M421" s="122">
        <f t="shared" si="134"/>
        <v>53.743952442333338</v>
      </c>
      <c r="N421" s="122">
        <f t="shared" si="134"/>
        <v>53.743952442333338</v>
      </c>
      <c r="O421" s="122">
        <f t="shared" si="134"/>
        <v>53.743952442333338</v>
      </c>
      <c r="P421" s="122">
        <f t="shared" si="134"/>
        <v>644.927429308</v>
      </c>
    </row>
    <row r="422" spans="1:16" ht="13.5" thickTop="1" x14ac:dyDescent="0.3">
      <c r="C422" s="123" t="s">
        <v>250</v>
      </c>
      <c r="D422" s="124" t="e">
        <f t="shared" ref="D422:P422" si="135">D421/D377</f>
        <v>#DIV/0!</v>
      </c>
      <c r="E422" s="124" t="e">
        <f t="shared" si="135"/>
        <v>#DIV/0!</v>
      </c>
      <c r="F422" s="124" t="e">
        <f t="shared" si="135"/>
        <v>#DIV/0!</v>
      </c>
      <c r="G422" s="124" t="e">
        <f t="shared" si="135"/>
        <v>#DIV/0!</v>
      </c>
      <c r="H422" s="124" t="e">
        <f t="shared" si="135"/>
        <v>#DIV/0!</v>
      </c>
      <c r="I422" s="124" t="e">
        <f t="shared" si="135"/>
        <v>#DIV/0!</v>
      </c>
      <c r="J422" s="124" t="e">
        <f t="shared" si="135"/>
        <v>#DIV/0!</v>
      </c>
      <c r="K422" s="124" t="e">
        <f t="shared" si="135"/>
        <v>#DIV/0!</v>
      </c>
      <c r="L422" s="124" t="e">
        <f t="shared" si="135"/>
        <v>#DIV/0!</v>
      </c>
      <c r="M422" s="124" t="e">
        <f t="shared" si="135"/>
        <v>#DIV/0!</v>
      </c>
      <c r="N422" s="124" t="e">
        <f t="shared" si="135"/>
        <v>#DIV/0!</v>
      </c>
      <c r="O422" s="124" t="e">
        <f t="shared" si="135"/>
        <v>#DIV/0!</v>
      </c>
      <c r="P422" s="124" t="e">
        <f t="shared" si="135"/>
        <v>#DIV/0!</v>
      </c>
    </row>
    <row r="423" spans="1:16" x14ac:dyDescent="0.3">
      <c r="C423" s="125"/>
      <c r="D423" s="126"/>
      <c r="E423" s="126"/>
      <c r="F423" s="126"/>
      <c r="G423" s="126"/>
      <c r="H423" s="126"/>
      <c r="I423" s="126"/>
      <c r="J423" s="126"/>
      <c r="K423" s="126"/>
      <c r="L423" s="126"/>
      <c r="M423" s="126"/>
      <c r="N423" s="126"/>
      <c r="O423" s="126"/>
      <c r="P423" s="126"/>
    </row>
    <row r="424" spans="1:16" ht="13.5" thickBot="1" x14ac:dyDescent="0.35">
      <c r="C424" s="66" t="s">
        <v>253</v>
      </c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</row>
    <row r="425" spans="1:16" ht="13.5" customHeight="1" thickBot="1" x14ac:dyDescent="0.35">
      <c r="C425" s="23" t="s">
        <v>69</v>
      </c>
      <c r="D425" s="24" t="s">
        <v>70</v>
      </c>
      <c r="E425" s="24" t="s">
        <v>71</v>
      </c>
      <c r="F425" s="24" t="s">
        <v>72</v>
      </c>
      <c r="G425" s="24" t="s">
        <v>73</v>
      </c>
      <c r="H425" s="24" t="s">
        <v>74</v>
      </c>
      <c r="I425" s="24" t="s">
        <v>75</v>
      </c>
      <c r="J425" s="24" t="s">
        <v>76</v>
      </c>
      <c r="K425" s="24" t="s">
        <v>77</v>
      </c>
      <c r="L425" s="24" t="s">
        <v>78</v>
      </c>
      <c r="M425" s="24" t="s">
        <v>79</v>
      </c>
      <c r="N425" s="24" t="s">
        <v>80</v>
      </c>
      <c r="O425" s="24" t="s">
        <v>81</v>
      </c>
      <c r="P425" s="25" t="s">
        <v>110</v>
      </c>
    </row>
    <row r="426" spans="1:16" ht="13.5" thickBot="1" x14ac:dyDescent="0.35">
      <c r="C426" s="116" t="s">
        <v>247</v>
      </c>
      <c r="D426" s="117"/>
      <c r="E426" s="117"/>
      <c r="F426" s="117"/>
      <c r="G426" s="117"/>
      <c r="H426" s="117"/>
      <c r="I426" s="117"/>
      <c r="J426" s="117"/>
      <c r="K426" s="117"/>
      <c r="L426" s="117"/>
      <c r="M426" s="117"/>
      <c r="N426" s="117"/>
      <c r="O426" s="117"/>
      <c r="P426" s="117"/>
    </row>
    <row r="427" spans="1:16" x14ac:dyDescent="0.3">
      <c r="C427" s="86"/>
      <c r="D427" s="87"/>
      <c r="E427" s="88"/>
      <c r="F427" s="89"/>
      <c r="G427" s="89"/>
      <c r="H427" s="89"/>
      <c r="I427" s="89"/>
      <c r="J427" s="89"/>
      <c r="K427" s="89"/>
      <c r="L427" s="87"/>
      <c r="M427" s="89"/>
      <c r="N427" s="89"/>
      <c r="O427" s="89"/>
      <c r="P427" s="89"/>
    </row>
    <row r="428" spans="1:16" x14ac:dyDescent="0.3">
      <c r="C428" s="90" t="s">
        <v>147</v>
      </c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>
        <f t="shared" ref="P428:P430" si="136">D428+E428+F428+G428+H428+I428+J428+K428+L428+M428+N428+O428</f>
        <v>0</v>
      </c>
    </row>
    <row r="429" spans="1:16" x14ac:dyDescent="0.3">
      <c r="C429" s="33" t="s">
        <v>148</v>
      </c>
      <c r="D429" s="62">
        <f>-[17]Woodline!D20/1000000</f>
        <v>-62.360937499999999</v>
      </c>
      <c r="E429" s="62">
        <f>-[17]Woodline!E20/1000000</f>
        <v>-51.272500000000001</v>
      </c>
      <c r="F429" s="62">
        <f>-[17]Woodline!F20/1000000</f>
        <v>-45.5403375</v>
      </c>
      <c r="G429" s="62">
        <f>-[17]Woodline!G20/1000000</f>
        <v>-38.321249999999999</v>
      </c>
      <c r="H429" s="62">
        <f>-[17]Woodline!H20/1000000</f>
        <v>-75.057422500000001</v>
      </c>
      <c r="I429" s="62">
        <f>-[17]Woodline!I20/1000000</f>
        <v>-84.09375</v>
      </c>
      <c r="J429" s="62">
        <f>-[17]Woodline!J20/1000000</f>
        <v>-113.5597425</v>
      </c>
      <c r="K429" s="62">
        <f>-[17]Woodline!K20/1000000</f>
        <v>-119.08750000000001</v>
      </c>
      <c r="L429" s="62">
        <f>-[17]Woodline!L20/1000000</f>
        <v>-110.05500000000001</v>
      </c>
      <c r="M429" s="62">
        <f>-[17]Woodline!M20/1000000</f>
        <v>-108.88124999999999</v>
      </c>
      <c r="N429" s="62">
        <f>-[17]Woodline!N20/1000000</f>
        <v>-97.034999999999997</v>
      </c>
      <c r="O429" s="62">
        <f>-[17]Woodline!O20/1000000</f>
        <v>-77.517107499999995</v>
      </c>
      <c r="P429" s="62">
        <f t="shared" si="136"/>
        <v>-982.78179749999993</v>
      </c>
    </row>
    <row r="430" spans="1:16" x14ac:dyDescent="0.3">
      <c r="C430" s="90" t="s">
        <v>149</v>
      </c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>
        <f t="shared" si="136"/>
        <v>0</v>
      </c>
    </row>
    <row r="431" spans="1:16" ht="13.5" thickBot="1" x14ac:dyDescent="0.35">
      <c r="C431" s="90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</row>
    <row r="432" spans="1:16" ht="13.5" thickBot="1" x14ac:dyDescent="0.35">
      <c r="A432" s="20"/>
      <c r="B432" s="20"/>
      <c r="C432" s="92" t="s">
        <v>150</v>
      </c>
      <c r="D432" s="93">
        <f t="shared" ref="D432:P432" si="137">SUM(D428:D431)</f>
        <v>-62.360937499999999</v>
      </c>
      <c r="E432" s="93">
        <f t="shared" si="137"/>
        <v>-51.272500000000001</v>
      </c>
      <c r="F432" s="93">
        <f t="shared" si="137"/>
        <v>-45.5403375</v>
      </c>
      <c r="G432" s="93">
        <f t="shared" si="137"/>
        <v>-38.321249999999999</v>
      </c>
      <c r="H432" s="93">
        <f t="shared" si="137"/>
        <v>-75.057422500000001</v>
      </c>
      <c r="I432" s="93">
        <f t="shared" si="137"/>
        <v>-84.09375</v>
      </c>
      <c r="J432" s="93">
        <f t="shared" si="137"/>
        <v>-113.5597425</v>
      </c>
      <c r="K432" s="93">
        <f t="shared" si="137"/>
        <v>-119.08750000000001</v>
      </c>
      <c r="L432" s="93">
        <f t="shared" si="137"/>
        <v>-110.05500000000001</v>
      </c>
      <c r="M432" s="93">
        <f t="shared" si="137"/>
        <v>-108.88124999999999</v>
      </c>
      <c r="N432" s="93">
        <f t="shared" si="137"/>
        <v>-97.034999999999997</v>
      </c>
      <c r="O432" s="93">
        <f t="shared" si="137"/>
        <v>-77.517107499999995</v>
      </c>
      <c r="P432" s="93">
        <f t="shared" si="137"/>
        <v>-982.78179749999993</v>
      </c>
    </row>
    <row r="433" spans="2:16" x14ac:dyDescent="0.3">
      <c r="C433" s="94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43"/>
    </row>
    <row r="434" spans="2:16" x14ac:dyDescent="0.3">
      <c r="C434" s="90" t="s">
        <v>151</v>
      </c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62">
        <f t="shared" ref="P434:P451" si="138">D434+E434+F434+G434+H434+I434+J434+K434+L434+M434+N434+O434</f>
        <v>0</v>
      </c>
    </row>
    <row r="435" spans="2:16" x14ac:dyDescent="0.3">
      <c r="C435" s="90" t="s">
        <v>152</v>
      </c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62">
        <f t="shared" si="138"/>
        <v>0</v>
      </c>
    </row>
    <row r="436" spans="2:16" x14ac:dyDescent="0.3">
      <c r="C436" s="90" t="s">
        <v>153</v>
      </c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62">
        <f t="shared" si="138"/>
        <v>0</v>
      </c>
    </row>
    <row r="437" spans="2:16" x14ac:dyDescent="0.3">
      <c r="C437" s="90" t="s">
        <v>154</v>
      </c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62">
        <f t="shared" si="138"/>
        <v>0</v>
      </c>
    </row>
    <row r="438" spans="2:16" x14ac:dyDescent="0.3">
      <c r="C438" s="90" t="s">
        <v>155</v>
      </c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62">
        <f t="shared" si="138"/>
        <v>0</v>
      </c>
    </row>
    <row r="439" spans="2:16" x14ac:dyDescent="0.3">
      <c r="C439" s="90" t="s">
        <v>156</v>
      </c>
      <c r="D439" s="103">
        <f>[15]Sheet1!D429/1000000</f>
        <v>0</v>
      </c>
      <c r="E439" s="103">
        <f>[15]Sheet1!E429/1000000</f>
        <v>0</v>
      </c>
      <c r="F439" s="103">
        <f>[15]Sheet1!F429/1000000</f>
        <v>0</v>
      </c>
      <c r="G439" s="103">
        <f>[15]Sheet1!G429/1000000</f>
        <v>0</v>
      </c>
      <c r="H439" s="103">
        <f>[15]Sheet1!H429/1000000</f>
        <v>0</v>
      </c>
      <c r="I439" s="103">
        <f>[15]Sheet1!I429/1000000</f>
        <v>0</v>
      </c>
      <c r="J439" s="103">
        <f>[15]Sheet1!J429/1000000</f>
        <v>0</v>
      </c>
      <c r="K439" s="103">
        <f>[15]Sheet1!K429/1000000</f>
        <v>0</v>
      </c>
      <c r="L439" s="103">
        <f>[15]Sheet1!L429/1000000</f>
        <v>0</v>
      </c>
      <c r="M439" s="103">
        <f>[15]Sheet1!M429/1000000</f>
        <v>0</v>
      </c>
      <c r="N439" s="103">
        <f>[15]Sheet1!N429/1000000</f>
        <v>0</v>
      </c>
      <c r="O439" s="103">
        <f>[15]Sheet1!O429/1000000</f>
        <v>0</v>
      </c>
      <c r="P439" s="62">
        <f t="shared" si="138"/>
        <v>0</v>
      </c>
    </row>
    <row r="440" spans="2:16" x14ac:dyDescent="0.3">
      <c r="C440" s="90" t="s">
        <v>157</v>
      </c>
      <c r="D440" s="103">
        <f>[15]Sheet1!D430/1000000</f>
        <v>0</v>
      </c>
      <c r="E440" s="103">
        <f>[15]Sheet1!E430/1000000</f>
        <v>0</v>
      </c>
      <c r="F440" s="103">
        <f>[15]Sheet1!F430/1000000</f>
        <v>0</v>
      </c>
      <c r="G440" s="103">
        <f>[15]Sheet1!G430/1000000</f>
        <v>0</v>
      </c>
      <c r="H440" s="103">
        <f>[15]Sheet1!H430/1000000</f>
        <v>0</v>
      </c>
      <c r="I440" s="103">
        <f>[15]Sheet1!I430/1000000</f>
        <v>0</v>
      </c>
      <c r="J440" s="103">
        <f>[15]Sheet1!J430/1000000</f>
        <v>0</v>
      </c>
      <c r="K440" s="103">
        <f>[15]Sheet1!K430/1000000</f>
        <v>0</v>
      </c>
      <c r="L440" s="103">
        <f>[15]Sheet1!L430/1000000</f>
        <v>0</v>
      </c>
      <c r="M440" s="103">
        <f>[15]Sheet1!M430/1000000</f>
        <v>0</v>
      </c>
      <c r="N440" s="103">
        <f>[15]Sheet1!N430/1000000</f>
        <v>0</v>
      </c>
      <c r="O440" s="103">
        <f>[15]Sheet1!O430/1000000</f>
        <v>0</v>
      </c>
      <c r="P440" s="62">
        <f t="shared" si="138"/>
        <v>0</v>
      </c>
    </row>
    <row r="441" spans="2:16" x14ac:dyDescent="0.3">
      <c r="B441" s="20"/>
      <c r="C441" s="90" t="s">
        <v>158</v>
      </c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62">
        <f t="shared" si="138"/>
        <v>0</v>
      </c>
    </row>
    <row r="442" spans="2:16" x14ac:dyDescent="0.3">
      <c r="C442" s="90" t="s">
        <v>159</v>
      </c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62">
        <f t="shared" si="138"/>
        <v>0</v>
      </c>
    </row>
    <row r="443" spans="2:16" x14ac:dyDescent="0.3">
      <c r="C443" s="90" t="s">
        <v>160</v>
      </c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62">
        <f t="shared" si="138"/>
        <v>0</v>
      </c>
    </row>
    <row r="444" spans="2:16" x14ac:dyDescent="0.3">
      <c r="C444" s="90" t="s">
        <v>161</v>
      </c>
      <c r="D444" s="103">
        <f>'[13]Budget Depre'!E19/1000000</f>
        <v>0</v>
      </c>
      <c r="E444" s="103">
        <f>'[13]Budget Depre'!F19/1000000</f>
        <v>0</v>
      </c>
      <c r="F444" s="103">
        <f>'[13]Budget Depre'!G19/1000000</f>
        <v>0</v>
      </c>
      <c r="G444" s="103">
        <f>'[13]Budget Depre'!H19/1000000</f>
        <v>0</v>
      </c>
      <c r="H444" s="103">
        <f>'[13]Budget Depre'!I19/1000000</f>
        <v>0</v>
      </c>
      <c r="I444" s="103">
        <f>'[13]Budget Depre'!J19/1000000</f>
        <v>0</v>
      </c>
      <c r="J444" s="103">
        <f>'[13]Budget Depre'!K19/1000000</f>
        <v>0</v>
      </c>
      <c r="K444" s="103">
        <f>'[13]Budget Depre'!L19/1000000</f>
        <v>0</v>
      </c>
      <c r="L444" s="103">
        <f>'[13]Budget Depre'!M19/1000000</f>
        <v>0</v>
      </c>
      <c r="M444" s="103">
        <f>'[13]Budget Depre'!N19/1000000</f>
        <v>0</v>
      </c>
      <c r="N444" s="103">
        <f>'[13]Budget Depre'!O19/1000000</f>
        <v>0</v>
      </c>
      <c r="O444" s="103">
        <f>'[13]Budget Depre'!P19/1000000</f>
        <v>0</v>
      </c>
      <c r="P444" s="62">
        <f t="shared" si="138"/>
        <v>0</v>
      </c>
    </row>
    <row r="445" spans="2:16" x14ac:dyDescent="0.3">
      <c r="C445" s="90" t="s">
        <v>162</v>
      </c>
      <c r="D445" s="103">
        <f>'[13]Budget Depre'!E20/1000000</f>
        <v>33.358497</v>
      </c>
      <c r="E445" s="103">
        <f>'[13]Budget Depre'!F20/1000000</f>
        <v>33.358497</v>
      </c>
      <c r="F445" s="103">
        <f>'[13]Budget Depre'!G20/1000000</f>
        <v>33.358497</v>
      </c>
      <c r="G445" s="103">
        <f>'[13]Budget Depre'!H20/1000000</f>
        <v>33.358497</v>
      </c>
      <c r="H445" s="103">
        <f>'[13]Budget Depre'!I20/1000000</f>
        <v>33.358497</v>
      </c>
      <c r="I445" s="103">
        <f>'[13]Budget Depre'!J20/1000000</f>
        <v>33.358497</v>
      </c>
      <c r="J445" s="103">
        <f>'[13]Budget Depre'!K20/1000000</f>
        <v>33.358497</v>
      </c>
      <c r="K445" s="103">
        <f>'[13]Budget Depre'!L20/1000000</f>
        <v>33.358497</v>
      </c>
      <c r="L445" s="103">
        <f>'[13]Budget Depre'!M20/1000000</f>
        <v>33.358497</v>
      </c>
      <c r="M445" s="103">
        <f>'[13]Budget Depre'!N20/1000000</f>
        <v>33.358497</v>
      </c>
      <c r="N445" s="103">
        <f>'[13]Budget Depre'!O20/1000000</f>
        <v>33.358497</v>
      </c>
      <c r="O445" s="103">
        <f>'[13]Budget Depre'!P20/1000000</f>
        <v>33.358497</v>
      </c>
      <c r="P445" s="62">
        <f t="shared" si="138"/>
        <v>400.301964</v>
      </c>
    </row>
    <row r="446" spans="2:16" x14ac:dyDescent="0.3">
      <c r="C446" s="90" t="s">
        <v>163</v>
      </c>
      <c r="D446" s="103">
        <f>'[13]Budget Depre'!E21/1000000</f>
        <v>0.247584</v>
      </c>
      <c r="E446" s="103">
        <f>'[13]Budget Depre'!F21/1000000</f>
        <v>0.247584</v>
      </c>
      <c r="F446" s="103">
        <f>'[13]Budget Depre'!G21/1000000</f>
        <v>0.247584</v>
      </c>
      <c r="G446" s="103">
        <f>'[13]Budget Depre'!H21/1000000</f>
        <v>0.247584</v>
      </c>
      <c r="H446" s="103">
        <f>'[13]Budget Depre'!I21/1000000</f>
        <v>0.247584</v>
      </c>
      <c r="I446" s="103">
        <f>'[13]Budget Depre'!J21/1000000</f>
        <v>0.247584</v>
      </c>
      <c r="J446" s="103">
        <f>'[13]Budget Depre'!K21/1000000</f>
        <v>0.247584</v>
      </c>
      <c r="K446" s="103">
        <f>'[13]Budget Depre'!L21/1000000</f>
        <v>0.247584</v>
      </c>
      <c r="L446" s="103">
        <f>'[13]Budget Depre'!M21/1000000</f>
        <v>0.247584</v>
      </c>
      <c r="M446" s="103">
        <f>'[13]Budget Depre'!N21/1000000</f>
        <v>0.247584</v>
      </c>
      <c r="N446" s="103">
        <f>'[13]Budget Depre'!O21/1000000</f>
        <v>0.247584</v>
      </c>
      <c r="O446" s="103">
        <f>'[13]Budget Depre'!P21/1000000</f>
        <v>0.247584</v>
      </c>
      <c r="P446" s="62">
        <f t="shared" si="138"/>
        <v>2.9710079999999994</v>
      </c>
    </row>
    <row r="447" spans="2:16" x14ac:dyDescent="0.3">
      <c r="C447" s="90" t="s">
        <v>164</v>
      </c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62">
        <f t="shared" si="138"/>
        <v>0</v>
      </c>
    </row>
    <row r="448" spans="2:16" x14ac:dyDescent="0.3">
      <c r="C448" s="90" t="s">
        <v>165</v>
      </c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62">
        <f t="shared" si="138"/>
        <v>0</v>
      </c>
    </row>
    <row r="449" spans="2:16" x14ac:dyDescent="0.3">
      <c r="C449" s="90" t="s">
        <v>166</v>
      </c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62">
        <f t="shared" si="138"/>
        <v>0</v>
      </c>
    </row>
    <row r="450" spans="2:16" x14ac:dyDescent="0.3">
      <c r="C450" s="90" t="s">
        <v>167</v>
      </c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62">
        <f t="shared" si="138"/>
        <v>0</v>
      </c>
    </row>
    <row r="451" spans="2:16" ht="13.5" thickBot="1" x14ac:dyDescent="0.35">
      <c r="C451" s="90" t="s">
        <v>168</v>
      </c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62">
        <f t="shared" si="138"/>
        <v>0</v>
      </c>
    </row>
    <row r="452" spans="2:16" ht="13.5" thickBot="1" x14ac:dyDescent="0.35">
      <c r="B452" s="20"/>
      <c r="C452" s="95" t="s">
        <v>169</v>
      </c>
      <c r="D452" s="93">
        <f t="shared" ref="D452:P452" si="139">SUM(D434:D451)</f>
        <v>33.606081000000003</v>
      </c>
      <c r="E452" s="93">
        <f t="shared" si="139"/>
        <v>33.606081000000003</v>
      </c>
      <c r="F452" s="93">
        <f t="shared" si="139"/>
        <v>33.606081000000003</v>
      </c>
      <c r="G452" s="93">
        <f t="shared" si="139"/>
        <v>33.606081000000003</v>
      </c>
      <c r="H452" s="93">
        <f t="shared" si="139"/>
        <v>33.606081000000003</v>
      </c>
      <c r="I452" s="93">
        <f t="shared" si="139"/>
        <v>33.606081000000003</v>
      </c>
      <c r="J452" s="93">
        <f t="shared" si="139"/>
        <v>33.606081000000003</v>
      </c>
      <c r="K452" s="93">
        <f t="shared" si="139"/>
        <v>33.606081000000003</v>
      </c>
      <c r="L452" s="93">
        <f t="shared" si="139"/>
        <v>33.606081000000003</v>
      </c>
      <c r="M452" s="93">
        <f t="shared" si="139"/>
        <v>33.606081000000003</v>
      </c>
      <c r="N452" s="93">
        <f t="shared" si="139"/>
        <v>33.606081000000003</v>
      </c>
      <c r="O452" s="93">
        <f t="shared" si="139"/>
        <v>33.606081000000003</v>
      </c>
      <c r="P452" s="93">
        <f t="shared" si="139"/>
        <v>403.27297199999998</v>
      </c>
    </row>
    <row r="453" spans="2:16" x14ac:dyDescent="0.3">
      <c r="C453" s="90" t="s">
        <v>170</v>
      </c>
      <c r="D453" s="62">
        <f>'[8]Budget Upah per cost center'!$C$12/1000000</f>
        <v>102.044175</v>
      </c>
      <c r="E453" s="62">
        <f>D453</f>
        <v>102.044175</v>
      </c>
      <c r="F453" s="62">
        <f t="shared" ref="F453:O453" si="140">E453</f>
        <v>102.044175</v>
      </c>
      <c r="G453" s="62">
        <f t="shared" si="140"/>
        <v>102.044175</v>
      </c>
      <c r="H453" s="62">
        <f t="shared" si="140"/>
        <v>102.044175</v>
      </c>
      <c r="I453" s="62">
        <f t="shared" si="140"/>
        <v>102.044175</v>
      </c>
      <c r="J453" s="62">
        <f t="shared" si="140"/>
        <v>102.044175</v>
      </c>
      <c r="K453" s="62">
        <f t="shared" si="140"/>
        <v>102.044175</v>
      </c>
      <c r="L453" s="62">
        <f t="shared" si="140"/>
        <v>102.044175</v>
      </c>
      <c r="M453" s="62">
        <f t="shared" si="140"/>
        <v>102.044175</v>
      </c>
      <c r="N453" s="62">
        <f t="shared" si="140"/>
        <v>102.044175</v>
      </c>
      <c r="O453" s="62">
        <f t="shared" si="140"/>
        <v>102.044175</v>
      </c>
      <c r="P453" s="62">
        <f t="shared" ref="P453:P466" si="141">D453+E453+F453+G453+H453+I453+J453+K453+L453+M453+N453+O453</f>
        <v>1224.5300999999999</v>
      </c>
    </row>
    <row r="454" spans="2:16" x14ac:dyDescent="0.3">
      <c r="C454" s="90" t="s">
        <v>171</v>
      </c>
      <c r="D454" s="62">
        <f>'[16]LEMBUR MO'!N8/1000000</f>
        <v>0</v>
      </c>
      <c r="E454" s="62">
        <f>'[16]LEMBUR MO'!O8/1000000</f>
        <v>0</v>
      </c>
      <c r="F454" s="62">
        <f>'[16]LEMBUR MO'!P8/1000000</f>
        <v>0</v>
      </c>
      <c r="G454" s="62">
        <f>'[16]LEMBUR MO'!Q8/1000000</f>
        <v>12.258962505620957</v>
      </c>
      <c r="H454" s="62">
        <f>'[16]LEMBUR MO'!R8/1000000</f>
        <v>0</v>
      </c>
      <c r="I454" s="62">
        <f>'[16]LEMBUR MO'!S8/1000000</f>
        <v>0</v>
      </c>
      <c r="J454" s="62">
        <f>'[16]LEMBUR MO'!T8/1000000</f>
        <v>38.159261780242353</v>
      </c>
      <c r="K454" s="62">
        <f>'[16]LEMBUR MO'!U8/1000000</f>
        <v>0</v>
      </c>
      <c r="L454" s="62">
        <f>'[16]LEMBUR MO'!V8/1000000</f>
        <v>9.0293467546605832</v>
      </c>
      <c r="M454" s="62">
        <f>'[16]LEMBUR MO'!W8/1000000</f>
        <v>39.502491921472725</v>
      </c>
      <c r="N454" s="62">
        <f>'[16]LEMBUR MO'!X8/1000000</f>
        <v>1.6560343500391954</v>
      </c>
      <c r="O454" s="62">
        <f>'[16]LEMBUR MO'!Y8/1000000</f>
        <v>0</v>
      </c>
      <c r="P454" s="62">
        <f t="shared" si="141"/>
        <v>100.60609731203581</v>
      </c>
    </row>
    <row r="455" spans="2:16" x14ac:dyDescent="0.3">
      <c r="C455" s="90" t="s">
        <v>172</v>
      </c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>
        <f t="shared" si="141"/>
        <v>0</v>
      </c>
    </row>
    <row r="456" spans="2:16" x14ac:dyDescent="0.3">
      <c r="C456" s="90" t="s">
        <v>173</v>
      </c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>
        <f t="shared" si="141"/>
        <v>0</v>
      </c>
    </row>
    <row r="457" spans="2:16" x14ac:dyDescent="0.3">
      <c r="C457" s="90" t="s">
        <v>174</v>
      </c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>
        <f t="shared" si="141"/>
        <v>0</v>
      </c>
    </row>
    <row r="458" spans="2:16" x14ac:dyDescent="0.3">
      <c r="C458" s="90" t="s">
        <v>175</v>
      </c>
      <c r="D458" s="62">
        <f>('[8]Budget Upah per cost center'!$D$12/1000000)/12</f>
        <v>8.5036812499999996</v>
      </c>
      <c r="E458" s="62">
        <f>D458</f>
        <v>8.5036812499999996</v>
      </c>
      <c r="F458" s="62">
        <f t="shared" ref="F458:O458" si="142">E458</f>
        <v>8.5036812499999996</v>
      </c>
      <c r="G458" s="62">
        <f t="shared" si="142"/>
        <v>8.5036812499999996</v>
      </c>
      <c r="H458" s="62">
        <f t="shared" si="142"/>
        <v>8.5036812499999996</v>
      </c>
      <c r="I458" s="62">
        <f t="shared" si="142"/>
        <v>8.5036812499999996</v>
      </c>
      <c r="J458" s="62">
        <f t="shared" si="142"/>
        <v>8.5036812499999996</v>
      </c>
      <c r="K458" s="62">
        <f t="shared" si="142"/>
        <v>8.5036812499999996</v>
      </c>
      <c r="L458" s="62">
        <f t="shared" si="142"/>
        <v>8.5036812499999996</v>
      </c>
      <c r="M458" s="62">
        <f t="shared" si="142"/>
        <v>8.5036812499999996</v>
      </c>
      <c r="N458" s="62">
        <f t="shared" si="142"/>
        <v>8.5036812499999996</v>
      </c>
      <c r="O458" s="62">
        <f t="shared" si="142"/>
        <v>8.5036812499999996</v>
      </c>
      <c r="P458" s="62">
        <f t="shared" si="141"/>
        <v>102.044175</v>
      </c>
    </row>
    <row r="459" spans="2:16" ht="13.5" thickBot="1" x14ac:dyDescent="0.35">
      <c r="C459" s="90" t="s">
        <v>176</v>
      </c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>
        <f t="shared" si="141"/>
        <v>0</v>
      </c>
    </row>
    <row r="460" spans="2:16" ht="13.5" thickBot="1" x14ac:dyDescent="0.35">
      <c r="B460" s="20"/>
      <c r="C460" s="97" t="s">
        <v>177</v>
      </c>
      <c r="D460" s="98">
        <f t="shared" ref="D460:O460" si="143">SUM(D453:D459)</f>
        <v>110.54785625</v>
      </c>
      <c r="E460" s="98">
        <f t="shared" si="143"/>
        <v>110.54785625</v>
      </c>
      <c r="F460" s="98">
        <f t="shared" si="143"/>
        <v>110.54785625</v>
      </c>
      <c r="G460" s="98">
        <f t="shared" si="143"/>
        <v>122.80681875562095</v>
      </c>
      <c r="H460" s="98">
        <f t="shared" si="143"/>
        <v>110.54785625</v>
      </c>
      <c r="I460" s="98">
        <f t="shared" si="143"/>
        <v>110.54785625</v>
      </c>
      <c r="J460" s="98">
        <f t="shared" si="143"/>
        <v>148.70711803024236</v>
      </c>
      <c r="K460" s="98">
        <f t="shared" si="143"/>
        <v>110.54785625</v>
      </c>
      <c r="L460" s="98">
        <f t="shared" si="143"/>
        <v>119.57720300466057</v>
      </c>
      <c r="M460" s="98">
        <f t="shared" si="143"/>
        <v>150.05034817147271</v>
      </c>
      <c r="N460" s="98">
        <f t="shared" si="143"/>
        <v>112.20389060003919</v>
      </c>
      <c r="O460" s="98">
        <f t="shared" si="143"/>
        <v>110.54785625</v>
      </c>
      <c r="P460" s="98">
        <f t="shared" si="141"/>
        <v>1427.1803723120356</v>
      </c>
    </row>
    <row r="461" spans="2:16" x14ac:dyDescent="0.3">
      <c r="B461" s="20"/>
      <c r="C461" s="90" t="s">
        <v>178</v>
      </c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>
        <f t="shared" si="141"/>
        <v>0</v>
      </c>
    </row>
    <row r="462" spans="2:16" x14ac:dyDescent="0.3">
      <c r="B462" s="20"/>
      <c r="C462" s="90" t="s">
        <v>179</v>
      </c>
      <c r="D462" s="62">
        <f>('[9]Budget Benefit per cost center'!$E$12+'[9]Budget Benefit per cost center'!$F$12+'[9]Budget Benefit per cost center'!$G$12)/1000000</f>
        <v>15.665805675000001</v>
      </c>
      <c r="E462" s="62">
        <f>D462</f>
        <v>15.665805675000001</v>
      </c>
      <c r="F462" s="62">
        <f t="shared" ref="F462:O462" si="144">E462</f>
        <v>15.665805675000001</v>
      </c>
      <c r="G462" s="62">
        <f t="shared" si="144"/>
        <v>15.665805675000001</v>
      </c>
      <c r="H462" s="62">
        <f t="shared" si="144"/>
        <v>15.665805675000001</v>
      </c>
      <c r="I462" s="62">
        <f t="shared" si="144"/>
        <v>15.665805675000001</v>
      </c>
      <c r="J462" s="62">
        <f t="shared" si="144"/>
        <v>15.665805675000001</v>
      </c>
      <c r="K462" s="62">
        <f t="shared" si="144"/>
        <v>15.665805675000001</v>
      </c>
      <c r="L462" s="62">
        <f t="shared" si="144"/>
        <v>15.665805675000001</v>
      </c>
      <c r="M462" s="62">
        <f t="shared" si="144"/>
        <v>15.665805675000001</v>
      </c>
      <c r="N462" s="62">
        <f t="shared" si="144"/>
        <v>15.665805675000001</v>
      </c>
      <c r="O462" s="62">
        <f t="shared" si="144"/>
        <v>15.665805675000001</v>
      </c>
      <c r="P462" s="62">
        <f t="shared" si="141"/>
        <v>187.98966810000002</v>
      </c>
    </row>
    <row r="463" spans="2:16" x14ac:dyDescent="0.3">
      <c r="B463" s="20"/>
      <c r="C463" s="90" t="s">
        <v>180</v>
      </c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>
        <f t="shared" si="141"/>
        <v>0</v>
      </c>
    </row>
    <row r="464" spans="2:16" x14ac:dyDescent="0.3">
      <c r="B464" s="20"/>
      <c r="C464" s="90" t="s">
        <v>181</v>
      </c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>
        <f t="shared" si="141"/>
        <v>0</v>
      </c>
    </row>
    <row r="465" spans="1:16" x14ac:dyDescent="0.3">
      <c r="B465" s="20"/>
      <c r="C465" s="90" t="s">
        <v>182</v>
      </c>
      <c r="D465" s="62">
        <f>('[9]Budget Benefit per cost center'!$C$12+('[9]Budget Benefit per cost center'!$D$12/12))/1000000</f>
        <v>4.2447125000000003</v>
      </c>
      <c r="E465" s="62">
        <f>D465</f>
        <v>4.2447125000000003</v>
      </c>
      <c r="F465" s="62">
        <f t="shared" ref="F465:O465" si="145">E465</f>
        <v>4.2447125000000003</v>
      </c>
      <c r="G465" s="62">
        <f t="shared" si="145"/>
        <v>4.2447125000000003</v>
      </c>
      <c r="H465" s="62">
        <f t="shared" si="145"/>
        <v>4.2447125000000003</v>
      </c>
      <c r="I465" s="62">
        <f t="shared" si="145"/>
        <v>4.2447125000000003</v>
      </c>
      <c r="J465" s="62">
        <f t="shared" si="145"/>
        <v>4.2447125000000003</v>
      </c>
      <c r="K465" s="62">
        <f t="shared" si="145"/>
        <v>4.2447125000000003</v>
      </c>
      <c r="L465" s="62">
        <f t="shared" si="145"/>
        <v>4.2447125000000003</v>
      </c>
      <c r="M465" s="62">
        <f t="shared" si="145"/>
        <v>4.2447125000000003</v>
      </c>
      <c r="N465" s="62">
        <f t="shared" si="145"/>
        <v>4.2447125000000003</v>
      </c>
      <c r="O465" s="62">
        <f t="shared" si="145"/>
        <v>4.2447125000000003</v>
      </c>
      <c r="P465" s="62">
        <f t="shared" si="141"/>
        <v>50.93654999999999</v>
      </c>
    </row>
    <row r="466" spans="1:16" ht="13.5" thickBot="1" x14ac:dyDescent="0.35">
      <c r="A466" s="20"/>
      <c r="B466" s="20"/>
      <c r="C466" s="99" t="s">
        <v>183</v>
      </c>
      <c r="D466" s="100">
        <f t="shared" ref="D466:O466" si="146">SUM(D461:D465)</f>
        <v>19.910518175</v>
      </c>
      <c r="E466" s="100">
        <f t="shared" si="146"/>
        <v>19.910518175</v>
      </c>
      <c r="F466" s="100">
        <f t="shared" si="146"/>
        <v>19.910518175</v>
      </c>
      <c r="G466" s="100">
        <f t="shared" si="146"/>
        <v>19.910518175</v>
      </c>
      <c r="H466" s="100">
        <f t="shared" si="146"/>
        <v>19.910518175</v>
      </c>
      <c r="I466" s="100">
        <f t="shared" si="146"/>
        <v>19.910518175</v>
      </c>
      <c r="J466" s="100">
        <f t="shared" si="146"/>
        <v>19.910518175</v>
      </c>
      <c r="K466" s="100">
        <f t="shared" si="146"/>
        <v>19.910518175</v>
      </c>
      <c r="L466" s="100">
        <f t="shared" si="146"/>
        <v>19.910518175</v>
      </c>
      <c r="M466" s="100">
        <f t="shared" si="146"/>
        <v>19.910518175</v>
      </c>
      <c r="N466" s="100">
        <f t="shared" si="146"/>
        <v>19.910518175</v>
      </c>
      <c r="O466" s="100">
        <f t="shared" si="146"/>
        <v>19.910518175</v>
      </c>
      <c r="P466" s="100">
        <f t="shared" si="141"/>
        <v>238.92621809999994</v>
      </c>
    </row>
    <row r="467" spans="1:16" ht="13.5" thickBot="1" x14ac:dyDescent="0.35">
      <c r="A467" s="20"/>
      <c r="B467" s="20"/>
      <c r="C467" s="92" t="s">
        <v>184</v>
      </c>
      <c r="D467" s="93">
        <f t="shared" ref="D467:P467" si="147">D432+D452+D460+D466</f>
        <v>101.703517925</v>
      </c>
      <c r="E467" s="93">
        <f t="shared" si="147"/>
        <v>112.791955425</v>
      </c>
      <c r="F467" s="93">
        <f t="shared" si="147"/>
        <v>118.52411792499998</v>
      </c>
      <c r="G467" s="93">
        <f t="shared" si="147"/>
        <v>138.00216793062094</v>
      </c>
      <c r="H467" s="93">
        <f t="shared" si="147"/>
        <v>89.007032925000004</v>
      </c>
      <c r="I467" s="93">
        <f t="shared" si="147"/>
        <v>79.970705425000006</v>
      </c>
      <c r="J467" s="93">
        <f t="shared" si="147"/>
        <v>88.663974705242367</v>
      </c>
      <c r="K467" s="93">
        <f t="shared" si="147"/>
        <v>44.976955424999993</v>
      </c>
      <c r="L467" s="93">
        <f t="shared" si="147"/>
        <v>63.038802179660571</v>
      </c>
      <c r="M467" s="93">
        <f t="shared" si="147"/>
        <v>94.685697346472722</v>
      </c>
      <c r="N467" s="93">
        <f t="shared" si="147"/>
        <v>68.685489775039201</v>
      </c>
      <c r="O467" s="93">
        <f t="shared" si="147"/>
        <v>86.547347924999997</v>
      </c>
      <c r="P467" s="93">
        <f t="shared" si="147"/>
        <v>1086.5977649120357</v>
      </c>
    </row>
    <row r="468" spans="1:16" ht="13.5" thickBot="1" x14ac:dyDescent="0.35">
      <c r="C468" s="118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</row>
    <row r="469" spans="1:16" ht="13.5" thickBot="1" x14ac:dyDescent="0.35">
      <c r="C469" s="119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</row>
    <row r="470" spans="1:16" ht="14" thickTop="1" thickBot="1" x14ac:dyDescent="0.35">
      <c r="C470" s="121" t="s">
        <v>248</v>
      </c>
      <c r="D470" s="122">
        <f>D467+D469</f>
        <v>101.703517925</v>
      </c>
      <c r="E470" s="122">
        <f t="shared" ref="E470:P470" si="148">E467+E469</f>
        <v>112.791955425</v>
      </c>
      <c r="F470" s="122">
        <f t="shared" si="148"/>
        <v>118.52411792499998</v>
      </c>
      <c r="G470" s="122">
        <f t="shared" si="148"/>
        <v>138.00216793062094</v>
      </c>
      <c r="H470" s="122">
        <f t="shared" si="148"/>
        <v>89.007032925000004</v>
      </c>
      <c r="I470" s="122">
        <f t="shared" si="148"/>
        <v>79.970705425000006</v>
      </c>
      <c r="J470" s="122">
        <f t="shared" si="148"/>
        <v>88.663974705242367</v>
      </c>
      <c r="K470" s="122">
        <f t="shared" si="148"/>
        <v>44.976955424999993</v>
      </c>
      <c r="L470" s="122">
        <f t="shared" si="148"/>
        <v>63.038802179660571</v>
      </c>
      <c r="M470" s="122">
        <f t="shared" si="148"/>
        <v>94.685697346472722</v>
      </c>
      <c r="N470" s="122">
        <f t="shared" si="148"/>
        <v>68.685489775039201</v>
      </c>
      <c r="O470" s="122">
        <f t="shared" si="148"/>
        <v>86.547347924999997</v>
      </c>
      <c r="P470" s="122">
        <f t="shared" si="148"/>
        <v>1086.5977649120357</v>
      </c>
    </row>
    <row r="471" spans="1:16" ht="13.5" thickTop="1" x14ac:dyDescent="0.3">
      <c r="C471" s="123" t="s">
        <v>250</v>
      </c>
      <c r="D471" s="124" t="e">
        <f t="shared" ref="D471:P471" si="149">D470/D426</f>
        <v>#DIV/0!</v>
      </c>
      <c r="E471" s="124" t="e">
        <f t="shared" si="149"/>
        <v>#DIV/0!</v>
      </c>
      <c r="F471" s="124" t="e">
        <f t="shared" si="149"/>
        <v>#DIV/0!</v>
      </c>
      <c r="G471" s="124" t="e">
        <f t="shared" si="149"/>
        <v>#DIV/0!</v>
      </c>
      <c r="H471" s="124" t="e">
        <f t="shared" si="149"/>
        <v>#DIV/0!</v>
      </c>
      <c r="I471" s="124" t="e">
        <f t="shared" si="149"/>
        <v>#DIV/0!</v>
      </c>
      <c r="J471" s="124" t="e">
        <f t="shared" si="149"/>
        <v>#DIV/0!</v>
      </c>
      <c r="K471" s="124" t="e">
        <f t="shared" si="149"/>
        <v>#DIV/0!</v>
      </c>
      <c r="L471" s="124" t="e">
        <f t="shared" si="149"/>
        <v>#DIV/0!</v>
      </c>
      <c r="M471" s="124" t="e">
        <f t="shared" si="149"/>
        <v>#DIV/0!</v>
      </c>
      <c r="N471" s="124" t="e">
        <f t="shared" si="149"/>
        <v>#DIV/0!</v>
      </c>
      <c r="O471" s="124" t="e">
        <f t="shared" si="149"/>
        <v>#DIV/0!</v>
      </c>
      <c r="P471" s="124" t="e">
        <f t="shared" si="149"/>
        <v>#DIV/0!</v>
      </c>
    </row>
    <row r="472" spans="1:16" x14ac:dyDescent="0.3">
      <c r="C472" s="125"/>
      <c r="D472" s="126"/>
      <c r="E472" s="126"/>
      <c r="F472" s="126"/>
      <c r="G472" s="126"/>
      <c r="H472" s="126"/>
      <c r="I472" s="126"/>
      <c r="J472" s="126"/>
      <c r="K472" s="126"/>
      <c r="L472" s="126"/>
      <c r="M472" s="126"/>
      <c r="N472" s="126"/>
      <c r="O472" s="126"/>
      <c r="P472" s="126"/>
    </row>
    <row r="473" spans="1:16" ht="13.5" thickBot="1" x14ac:dyDescent="0.35">
      <c r="C473" s="66" t="s">
        <v>254</v>
      </c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</row>
    <row r="474" spans="1:16" ht="13.5" customHeight="1" thickBot="1" x14ac:dyDescent="0.35">
      <c r="C474" s="23" t="s">
        <v>69</v>
      </c>
      <c r="D474" s="24" t="s">
        <v>70</v>
      </c>
      <c r="E474" s="24" t="s">
        <v>71</v>
      </c>
      <c r="F474" s="24" t="s">
        <v>72</v>
      </c>
      <c r="G474" s="24" t="s">
        <v>73</v>
      </c>
      <c r="H474" s="24" t="s">
        <v>74</v>
      </c>
      <c r="I474" s="24" t="s">
        <v>75</v>
      </c>
      <c r="J474" s="24" t="s">
        <v>76</v>
      </c>
      <c r="K474" s="24" t="s">
        <v>77</v>
      </c>
      <c r="L474" s="24" t="s">
        <v>78</v>
      </c>
      <c r="M474" s="24" t="s">
        <v>79</v>
      </c>
      <c r="N474" s="24" t="s">
        <v>80</v>
      </c>
      <c r="O474" s="24" t="s">
        <v>81</v>
      </c>
      <c r="P474" s="25" t="s">
        <v>110</v>
      </c>
    </row>
    <row r="475" spans="1:16" ht="13.5" thickBot="1" x14ac:dyDescent="0.35">
      <c r="C475" s="116" t="s">
        <v>247</v>
      </c>
      <c r="D475" s="117"/>
      <c r="E475" s="117"/>
      <c r="F475" s="117"/>
      <c r="G475" s="117"/>
      <c r="H475" s="117"/>
      <c r="I475" s="117"/>
      <c r="J475" s="117"/>
      <c r="K475" s="117"/>
      <c r="L475" s="117"/>
      <c r="M475" s="117"/>
      <c r="N475" s="117"/>
      <c r="O475" s="117"/>
      <c r="P475" s="117"/>
    </row>
    <row r="476" spans="1:16" x14ac:dyDescent="0.3">
      <c r="C476" s="86"/>
      <c r="D476" s="87"/>
      <c r="E476" s="88"/>
      <c r="F476" s="89"/>
      <c r="G476" s="89"/>
      <c r="H476" s="89"/>
      <c r="I476" s="89"/>
      <c r="J476" s="89"/>
      <c r="K476" s="89"/>
      <c r="L476" s="87"/>
      <c r="M476" s="89"/>
      <c r="N476" s="89"/>
      <c r="O476" s="89"/>
      <c r="P476" s="89"/>
    </row>
    <row r="477" spans="1:16" x14ac:dyDescent="0.3">
      <c r="C477" s="90" t="s">
        <v>147</v>
      </c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>
        <f t="shared" ref="P477:P479" si="150">D477+E477+F477+G477+H477+I477+J477+K477+L477+M477+N477+O477</f>
        <v>0</v>
      </c>
    </row>
    <row r="478" spans="1:16" x14ac:dyDescent="0.3">
      <c r="C478" s="33" t="s">
        <v>148</v>
      </c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>
        <f t="shared" si="150"/>
        <v>0</v>
      </c>
    </row>
    <row r="479" spans="1:16" x14ac:dyDescent="0.3">
      <c r="C479" s="90" t="s">
        <v>149</v>
      </c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>
        <f t="shared" si="150"/>
        <v>0</v>
      </c>
    </row>
    <row r="480" spans="1:16" ht="13.5" thickBot="1" x14ac:dyDescent="0.35">
      <c r="C480" s="90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</row>
    <row r="481" spans="1:16" ht="13.5" thickBot="1" x14ac:dyDescent="0.35">
      <c r="A481" s="20"/>
      <c r="B481" s="20"/>
      <c r="C481" s="92" t="s">
        <v>150</v>
      </c>
      <c r="D481" s="93">
        <f t="shared" ref="D481:P481" si="151">SUM(D477:D480)</f>
        <v>0</v>
      </c>
      <c r="E481" s="93">
        <f t="shared" si="151"/>
        <v>0</v>
      </c>
      <c r="F481" s="93">
        <f t="shared" si="151"/>
        <v>0</v>
      </c>
      <c r="G481" s="93">
        <f t="shared" si="151"/>
        <v>0</v>
      </c>
      <c r="H481" s="93">
        <f t="shared" si="151"/>
        <v>0</v>
      </c>
      <c r="I481" s="93">
        <f t="shared" si="151"/>
        <v>0</v>
      </c>
      <c r="J481" s="93">
        <f t="shared" si="151"/>
        <v>0</v>
      </c>
      <c r="K481" s="93">
        <f t="shared" si="151"/>
        <v>0</v>
      </c>
      <c r="L481" s="93">
        <f t="shared" si="151"/>
        <v>0</v>
      </c>
      <c r="M481" s="93">
        <f t="shared" si="151"/>
        <v>0</v>
      </c>
      <c r="N481" s="93">
        <f t="shared" si="151"/>
        <v>0</v>
      </c>
      <c r="O481" s="93">
        <f t="shared" si="151"/>
        <v>0</v>
      </c>
      <c r="P481" s="93">
        <f t="shared" si="151"/>
        <v>0</v>
      </c>
    </row>
    <row r="482" spans="1:16" x14ac:dyDescent="0.3">
      <c r="C482" s="94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43"/>
    </row>
    <row r="483" spans="1:16" x14ac:dyDescent="0.3">
      <c r="C483" s="90" t="s">
        <v>151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62">
        <f t="shared" ref="P483:P500" si="152">D483+E483+F483+G483+H483+I483+J483+K483+L483+M483+N483+O483</f>
        <v>0</v>
      </c>
    </row>
    <row r="484" spans="1:16" x14ac:dyDescent="0.3">
      <c r="C484" s="90" t="s">
        <v>152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62">
        <f t="shared" si="152"/>
        <v>0</v>
      </c>
    </row>
    <row r="485" spans="1:16" x14ac:dyDescent="0.3">
      <c r="C485" s="90" t="s">
        <v>153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62">
        <f t="shared" si="152"/>
        <v>0</v>
      </c>
    </row>
    <row r="486" spans="1:16" x14ac:dyDescent="0.3">
      <c r="C486" s="90" t="s">
        <v>154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62">
        <f t="shared" si="152"/>
        <v>0</v>
      </c>
    </row>
    <row r="487" spans="1:16" x14ac:dyDescent="0.3">
      <c r="C487" s="90" t="s">
        <v>155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62">
        <f t="shared" si="152"/>
        <v>0</v>
      </c>
    </row>
    <row r="488" spans="1:16" x14ac:dyDescent="0.3">
      <c r="C488" s="90" t="s">
        <v>156</v>
      </c>
      <c r="D488" s="103">
        <f>[15]Sheet1!D479/1000000</f>
        <v>0</v>
      </c>
      <c r="E488" s="103">
        <f>[15]Sheet1!E479/1000000</f>
        <v>0</v>
      </c>
      <c r="F488" s="103">
        <f>[15]Sheet1!F479/1000000</f>
        <v>0</v>
      </c>
      <c r="G488" s="103">
        <f>[15]Sheet1!G479/1000000</f>
        <v>0</v>
      </c>
      <c r="H488" s="103">
        <f>[15]Sheet1!H479/1000000</f>
        <v>0</v>
      </c>
      <c r="I488" s="103">
        <f>[15]Sheet1!I479/1000000</f>
        <v>0</v>
      </c>
      <c r="J488" s="103">
        <f>[15]Sheet1!J479/1000000</f>
        <v>0</v>
      </c>
      <c r="K488" s="103">
        <f>[15]Sheet1!K479/1000000</f>
        <v>0</v>
      </c>
      <c r="L488" s="103">
        <f>[15]Sheet1!L479/1000000</f>
        <v>0</v>
      </c>
      <c r="M488" s="103">
        <f>[15]Sheet1!M479/1000000</f>
        <v>0</v>
      </c>
      <c r="N488" s="103">
        <f>[15]Sheet1!N479/1000000</f>
        <v>0</v>
      </c>
      <c r="O488" s="103">
        <f>[15]Sheet1!O479/1000000</f>
        <v>0</v>
      </c>
      <c r="P488" s="62">
        <f t="shared" si="152"/>
        <v>0</v>
      </c>
    </row>
    <row r="489" spans="1:16" x14ac:dyDescent="0.3">
      <c r="C489" s="90" t="s">
        <v>157</v>
      </c>
      <c r="D489" s="103">
        <f>[15]Sheet1!D480/1000000</f>
        <v>0</v>
      </c>
      <c r="E489" s="103">
        <f>[15]Sheet1!E480/1000000</f>
        <v>0</v>
      </c>
      <c r="F489" s="103">
        <f>[15]Sheet1!F480/1000000</f>
        <v>0</v>
      </c>
      <c r="G489" s="103">
        <f>[15]Sheet1!G480/1000000</f>
        <v>0</v>
      </c>
      <c r="H489" s="103">
        <f>[15]Sheet1!H480/1000000</f>
        <v>0</v>
      </c>
      <c r="I489" s="103">
        <f>[15]Sheet1!I480/1000000</f>
        <v>0</v>
      </c>
      <c r="J489" s="103">
        <f>[15]Sheet1!J480/1000000</f>
        <v>0</v>
      </c>
      <c r="K489" s="103">
        <f>[15]Sheet1!K480/1000000</f>
        <v>0</v>
      </c>
      <c r="L489" s="103">
        <f>[15]Sheet1!L480/1000000</f>
        <v>0</v>
      </c>
      <c r="M489" s="103">
        <f>[15]Sheet1!M480/1000000</f>
        <v>0</v>
      </c>
      <c r="N489" s="103">
        <f>[15]Sheet1!N480/1000000</f>
        <v>0</v>
      </c>
      <c r="O489" s="103">
        <f>[15]Sheet1!O480/1000000</f>
        <v>0</v>
      </c>
      <c r="P489" s="62">
        <f t="shared" si="152"/>
        <v>0</v>
      </c>
    </row>
    <row r="490" spans="1:16" x14ac:dyDescent="0.3">
      <c r="B490" s="20"/>
      <c r="C490" s="90" t="s">
        <v>158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62">
        <f t="shared" si="152"/>
        <v>0</v>
      </c>
    </row>
    <row r="491" spans="1:16" x14ac:dyDescent="0.3">
      <c r="C491" s="90" t="s">
        <v>159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62">
        <f t="shared" si="152"/>
        <v>0</v>
      </c>
    </row>
    <row r="492" spans="1:16" x14ac:dyDescent="0.3">
      <c r="C492" s="90" t="s">
        <v>160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62">
        <f t="shared" si="152"/>
        <v>0</v>
      </c>
    </row>
    <row r="493" spans="1:16" x14ac:dyDescent="0.3">
      <c r="C493" s="90" t="s">
        <v>161</v>
      </c>
      <c r="D493" s="103">
        <f>'[13]Budget Depre'!E23/1000000</f>
        <v>0</v>
      </c>
      <c r="E493" s="103">
        <f>'[13]Budget Depre'!F23/1000000</f>
        <v>0</v>
      </c>
      <c r="F493" s="103">
        <f>'[13]Budget Depre'!G23/1000000</f>
        <v>0</v>
      </c>
      <c r="G493" s="103">
        <f>'[13]Budget Depre'!H23/1000000</f>
        <v>0</v>
      </c>
      <c r="H493" s="103">
        <f>'[13]Budget Depre'!I23/1000000</f>
        <v>0</v>
      </c>
      <c r="I493" s="103">
        <f>'[13]Budget Depre'!J23/1000000</f>
        <v>0</v>
      </c>
      <c r="J493" s="103">
        <f>'[13]Budget Depre'!K23/1000000</f>
        <v>0</v>
      </c>
      <c r="K493" s="103">
        <f>'[13]Budget Depre'!L23/1000000</f>
        <v>0</v>
      </c>
      <c r="L493" s="103">
        <f>'[13]Budget Depre'!M23/1000000</f>
        <v>0</v>
      </c>
      <c r="M493" s="103">
        <f>'[13]Budget Depre'!N23/1000000</f>
        <v>0</v>
      </c>
      <c r="N493" s="103">
        <f>'[13]Budget Depre'!O23/1000000</f>
        <v>0</v>
      </c>
      <c r="O493" s="103">
        <f>'[13]Budget Depre'!P23/1000000</f>
        <v>0</v>
      </c>
      <c r="P493" s="62">
        <f t="shared" si="152"/>
        <v>0</v>
      </c>
    </row>
    <row r="494" spans="1:16" x14ac:dyDescent="0.3">
      <c r="C494" s="90" t="s">
        <v>162</v>
      </c>
      <c r="D494" s="103">
        <f>'[13]Budget Depre'!E24/1000000</f>
        <v>133.54499966666668</v>
      </c>
      <c r="E494" s="103">
        <f>'[13]Budget Depre'!F24/1000000</f>
        <v>133.54499966666668</v>
      </c>
      <c r="F494" s="103">
        <f>'[13]Budget Depre'!G24/1000000</f>
        <v>133.54499966666668</v>
      </c>
      <c r="G494" s="103">
        <f>'[13]Budget Depre'!H24/1000000</f>
        <v>133.54499966666668</v>
      </c>
      <c r="H494" s="103">
        <f>'[13]Budget Depre'!I24/1000000</f>
        <v>133.54499966666668</v>
      </c>
      <c r="I494" s="103">
        <f>'[13]Budget Depre'!J24/1000000</f>
        <v>133.54499966666668</v>
      </c>
      <c r="J494" s="103">
        <f>'[13]Budget Depre'!K24/1000000</f>
        <v>133.54499966666668</v>
      </c>
      <c r="K494" s="103">
        <f>'[13]Budget Depre'!L24/1000000</f>
        <v>133.54499966666668</v>
      </c>
      <c r="L494" s="103">
        <f>'[13]Budget Depre'!M24/1000000</f>
        <v>133.54499966666668</v>
      </c>
      <c r="M494" s="103">
        <f>'[13]Budget Depre'!N24/1000000</f>
        <v>133.54499966666668</v>
      </c>
      <c r="N494" s="103">
        <f>'[13]Budget Depre'!O24/1000000</f>
        <v>133.54499966666668</v>
      </c>
      <c r="O494" s="103">
        <f>'[13]Budget Depre'!P24/1000000</f>
        <v>133.54499966666668</v>
      </c>
      <c r="P494" s="62">
        <f t="shared" si="152"/>
        <v>1602.5399959999997</v>
      </c>
    </row>
    <row r="495" spans="1:16" x14ac:dyDescent="0.3">
      <c r="C495" s="90" t="s">
        <v>163</v>
      </c>
      <c r="D495" s="103">
        <f>'[13]Budget Depre'!E25/1000000</f>
        <v>6.143084</v>
      </c>
      <c r="E495" s="103">
        <f>'[13]Budget Depre'!F25/1000000</f>
        <v>6.143084</v>
      </c>
      <c r="F495" s="103">
        <f>'[13]Budget Depre'!G25/1000000</f>
        <v>6.143084</v>
      </c>
      <c r="G495" s="103">
        <f>'[13]Budget Depre'!H25/1000000</f>
        <v>6.143084</v>
      </c>
      <c r="H495" s="103">
        <f>'[13]Budget Depre'!I25/1000000</f>
        <v>6.143084</v>
      </c>
      <c r="I495" s="103">
        <f>'[13]Budget Depre'!J25/1000000</f>
        <v>6.143084</v>
      </c>
      <c r="J495" s="103">
        <f>'[13]Budget Depre'!K25/1000000</f>
        <v>6.143084</v>
      </c>
      <c r="K495" s="103">
        <f>'[13]Budget Depre'!L25/1000000</f>
        <v>6.143084</v>
      </c>
      <c r="L495" s="103">
        <f>'[13]Budget Depre'!M25/1000000</f>
        <v>6.143084</v>
      </c>
      <c r="M495" s="103">
        <f>'[13]Budget Depre'!N25/1000000</f>
        <v>6.143084</v>
      </c>
      <c r="N495" s="103">
        <f>'[13]Budget Depre'!O25/1000000</f>
        <v>6.143084</v>
      </c>
      <c r="O495" s="103">
        <f>'[13]Budget Depre'!P25/1000000</f>
        <v>6.143084</v>
      </c>
      <c r="P495" s="62">
        <f t="shared" si="152"/>
        <v>73.717008000000007</v>
      </c>
    </row>
    <row r="496" spans="1:16" x14ac:dyDescent="0.3">
      <c r="C496" s="90" t="s">
        <v>164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62">
        <f t="shared" si="152"/>
        <v>0</v>
      </c>
    </row>
    <row r="497" spans="2:16" x14ac:dyDescent="0.3">
      <c r="C497" s="90" t="s">
        <v>165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62">
        <f t="shared" si="152"/>
        <v>0</v>
      </c>
    </row>
    <row r="498" spans="2:16" x14ac:dyDescent="0.3">
      <c r="C498" s="90" t="s">
        <v>166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62">
        <f t="shared" si="152"/>
        <v>0</v>
      </c>
    </row>
    <row r="499" spans="2:16" x14ac:dyDescent="0.3">
      <c r="C499" s="90" t="s">
        <v>167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62">
        <f t="shared" si="152"/>
        <v>0</v>
      </c>
    </row>
    <row r="500" spans="2:16" ht="13.5" thickBot="1" x14ac:dyDescent="0.35">
      <c r="C500" s="90" t="s">
        <v>168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62">
        <f t="shared" si="152"/>
        <v>0</v>
      </c>
    </row>
    <row r="501" spans="2:16" ht="13.5" thickBot="1" x14ac:dyDescent="0.35">
      <c r="B501" s="20"/>
      <c r="C501" s="95" t="s">
        <v>169</v>
      </c>
      <c r="D501" s="93">
        <f t="shared" ref="D501:P501" si="153">SUM(D483:D500)</f>
        <v>139.68808366666667</v>
      </c>
      <c r="E501" s="93">
        <f t="shared" si="153"/>
        <v>139.68808366666667</v>
      </c>
      <c r="F501" s="93">
        <f t="shared" si="153"/>
        <v>139.68808366666667</v>
      </c>
      <c r="G501" s="93">
        <f t="shared" si="153"/>
        <v>139.68808366666667</v>
      </c>
      <c r="H501" s="93">
        <f t="shared" si="153"/>
        <v>139.68808366666667</v>
      </c>
      <c r="I501" s="93">
        <f t="shared" si="153"/>
        <v>139.68808366666667</v>
      </c>
      <c r="J501" s="93">
        <f t="shared" si="153"/>
        <v>139.68808366666667</v>
      </c>
      <c r="K501" s="93">
        <f t="shared" si="153"/>
        <v>139.68808366666667</v>
      </c>
      <c r="L501" s="93">
        <f t="shared" si="153"/>
        <v>139.68808366666667</v>
      </c>
      <c r="M501" s="93">
        <f t="shared" si="153"/>
        <v>139.68808366666667</v>
      </c>
      <c r="N501" s="93">
        <f t="shared" si="153"/>
        <v>139.68808366666667</v>
      </c>
      <c r="O501" s="93">
        <f t="shared" si="153"/>
        <v>139.68808366666667</v>
      </c>
      <c r="P501" s="93">
        <f t="shared" si="153"/>
        <v>1676.2570039999998</v>
      </c>
    </row>
    <row r="502" spans="2:16" x14ac:dyDescent="0.3">
      <c r="C502" s="90" t="s">
        <v>170</v>
      </c>
      <c r="D502" s="62">
        <f>'[8]Budget Upah per cost center'!$C$13/1000000</f>
        <v>43.941642999999999</v>
      </c>
      <c r="E502" s="62">
        <f>D502</f>
        <v>43.941642999999999</v>
      </c>
      <c r="F502" s="62">
        <f t="shared" ref="F502:O502" si="154">E502</f>
        <v>43.941642999999999</v>
      </c>
      <c r="G502" s="62">
        <f t="shared" si="154"/>
        <v>43.941642999999999</v>
      </c>
      <c r="H502" s="62">
        <f t="shared" si="154"/>
        <v>43.941642999999999</v>
      </c>
      <c r="I502" s="62">
        <f t="shared" si="154"/>
        <v>43.941642999999999</v>
      </c>
      <c r="J502" s="62">
        <f t="shared" si="154"/>
        <v>43.941642999999999</v>
      </c>
      <c r="K502" s="62">
        <f t="shared" si="154"/>
        <v>43.941642999999999</v>
      </c>
      <c r="L502" s="62">
        <f t="shared" si="154"/>
        <v>43.941642999999999</v>
      </c>
      <c r="M502" s="62">
        <f t="shared" si="154"/>
        <v>43.941642999999999</v>
      </c>
      <c r="N502" s="62">
        <f t="shared" si="154"/>
        <v>43.941642999999999</v>
      </c>
      <c r="O502" s="62">
        <f t="shared" si="154"/>
        <v>43.941642999999999</v>
      </c>
      <c r="P502" s="62">
        <f t="shared" ref="P502:P515" si="155">D502+E502+F502+G502+H502+I502+J502+K502+L502+M502+N502+O502</f>
        <v>527.29971599999999</v>
      </c>
    </row>
    <row r="503" spans="2:16" x14ac:dyDescent="0.3">
      <c r="C503" s="90" t="s">
        <v>171</v>
      </c>
      <c r="D503" s="62">
        <f>'[16]LEMBUR MO'!N9/1000000</f>
        <v>0</v>
      </c>
      <c r="E503" s="62">
        <f>'[16]LEMBUR MO'!O9/1000000</f>
        <v>0</v>
      </c>
      <c r="F503" s="62">
        <f>'[16]LEMBUR MO'!P9/1000000</f>
        <v>0</v>
      </c>
      <c r="G503" s="62">
        <f>'[16]LEMBUR MO'!Q9/1000000</f>
        <v>0</v>
      </c>
      <c r="H503" s="62">
        <f>'[16]LEMBUR MO'!R9/1000000</f>
        <v>1.9633608436416183</v>
      </c>
      <c r="I503" s="62">
        <f>'[16]LEMBUR MO'!S9/1000000</f>
        <v>1.0387963736358383</v>
      </c>
      <c r="J503" s="62">
        <f>'[16]LEMBUR MO'!T9/1000000</f>
        <v>0</v>
      </c>
      <c r="K503" s="62">
        <f>'[16]LEMBUR MO'!U9/1000000</f>
        <v>2.7286396332762521</v>
      </c>
      <c r="L503" s="62">
        <f>'[16]LEMBUR MO'!V9/1000000</f>
        <v>3.7190195285078809</v>
      </c>
      <c r="M503" s="62">
        <f>'[16]LEMBUR MO'!W9/1000000</f>
        <v>7.9854847459218545</v>
      </c>
      <c r="N503" s="62">
        <f>'[16]LEMBUR MO'!X9/1000000</f>
        <v>4.5557932108269759</v>
      </c>
      <c r="O503" s="62">
        <f>'[16]LEMBUR MO'!Y9/1000000</f>
        <v>13.964810951557695</v>
      </c>
      <c r="P503" s="62">
        <f t="shared" si="155"/>
        <v>35.955905287368111</v>
      </c>
    </row>
    <row r="504" spans="2:16" x14ac:dyDescent="0.3">
      <c r="C504" s="90" t="s">
        <v>172</v>
      </c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>
        <f t="shared" si="155"/>
        <v>0</v>
      </c>
    </row>
    <row r="505" spans="2:16" x14ac:dyDescent="0.3">
      <c r="C505" s="90" t="s">
        <v>173</v>
      </c>
      <c r="D505" s="62">
        <f>[7]Sheet3!$G$4/1000000</f>
        <v>11.845295109999999</v>
      </c>
      <c r="E505" s="62">
        <f>D505</f>
        <v>11.845295109999999</v>
      </c>
      <c r="F505" s="62">
        <f t="shared" ref="F505:O505" si="156">E505</f>
        <v>11.845295109999999</v>
      </c>
      <c r="G505" s="62">
        <f t="shared" si="156"/>
        <v>11.845295109999999</v>
      </c>
      <c r="H505" s="62">
        <f t="shared" si="156"/>
        <v>11.845295109999999</v>
      </c>
      <c r="I505" s="62">
        <f t="shared" si="156"/>
        <v>11.845295109999999</v>
      </c>
      <c r="J505" s="62">
        <f t="shared" si="156"/>
        <v>11.845295109999999</v>
      </c>
      <c r="K505" s="62">
        <f t="shared" si="156"/>
        <v>11.845295109999999</v>
      </c>
      <c r="L505" s="62">
        <f t="shared" si="156"/>
        <v>11.845295109999999</v>
      </c>
      <c r="M505" s="62">
        <f t="shared" si="156"/>
        <v>11.845295109999999</v>
      </c>
      <c r="N505" s="62">
        <f t="shared" si="156"/>
        <v>11.845295109999999</v>
      </c>
      <c r="O505" s="62">
        <f t="shared" si="156"/>
        <v>11.845295109999999</v>
      </c>
      <c r="P505" s="62">
        <f t="shared" si="155"/>
        <v>142.14354131999997</v>
      </c>
    </row>
    <row r="506" spans="2:16" x14ac:dyDescent="0.3">
      <c r="C506" s="90" t="s">
        <v>174</v>
      </c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>
        <f t="shared" si="155"/>
        <v>0</v>
      </c>
    </row>
    <row r="507" spans="2:16" x14ac:dyDescent="0.3">
      <c r="C507" s="90" t="s">
        <v>175</v>
      </c>
      <c r="D507" s="62">
        <f>('[8]Budget Upah per cost center'!$D$13/12)/1000000</f>
        <v>3.6618035833333336</v>
      </c>
      <c r="E507" s="62">
        <f>D507</f>
        <v>3.6618035833333336</v>
      </c>
      <c r="F507" s="62">
        <f t="shared" ref="F507:O508" si="157">E507</f>
        <v>3.6618035833333336</v>
      </c>
      <c r="G507" s="62">
        <f t="shared" si="157"/>
        <v>3.6618035833333336</v>
      </c>
      <c r="H507" s="62">
        <f t="shared" si="157"/>
        <v>3.6618035833333336</v>
      </c>
      <c r="I507" s="62">
        <f t="shared" si="157"/>
        <v>3.6618035833333336</v>
      </c>
      <c r="J507" s="62">
        <f t="shared" si="157"/>
        <v>3.6618035833333336</v>
      </c>
      <c r="K507" s="62">
        <f t="shared" si="157"/>
        <v>3.6618035833333336</v>
      </c>
      <c r="L507" s="62">
        <f t="shared" si="157"/>
        <v>3.6618035833333336</v>
      </c>
      <c r="M507" s="62">
        <f t="shared" si="157"/>
        <v>3.6618035833333336</v>
      </c>
      <c r="N507" s="62">
        <f t="shared" si="157"/>
        <v>3.6618035833333336</v>
      </c>
      <c r="O507" s="62">
        <f t="shared" si="157"/>
        <v>3.6618035833333336</v>
      </c>
      <c r="P507" s="62">
        <f t="shared" si="155"/>
        <v>43.941642999999999</v>
      </c>
    </row>
    <row r="508" spans="2:16" ht="13.5" thickBot="1" x14ac:dyDescent="0.35">
      <c r="C508" s="90" t="s">
        <v>176</v>
      </c>
      <c r="D508" s="62">
        <f>[7]Sheet3!$H$4/1000000</f>
        <v>0.83835792583333324</v>
      </c>
      <c r="E508" s="62">
        <f>D508</f>
        <v>0.83835792583333324</v>
      </c>
      <c r="F508" s="62">
        <f t="shared" si="157"/>
        <v>0.83835792583333324</v>
      </c>
      <c r="G508" s="62">
        <f t="shared" si="157"/>
        <v>0.83835792583333324</v>
      </c>
      <c r="H508" s="62">
        <f t="shared" si="157"/>
        <v>0.83835792583333324</v>
      </c>
      <c r="I508" s="62">
        <f t="shared" si="157"/>
        <v>0.83835792583333324</v>
      </c>
      <c r="J508" s="62">
        <f t="shared" si="157"/>
        <v>0.83835792583333324</v>
      </c>
      <c r="K508" s="62">
        <f t="shared" si="157"/>
        <v>0.83835792583333324</v>
      </c>
      <c r="L508" s="62">
        <f t="shared" si="157"/>
        <v>0.83835792583333324</v>
      </c>
      <c r="M508" s="62">
        <f t="shared" si="157"/>
        <v>0.83835792583333324</v>
      </c>
      <c r="N508" s="62">
        <f t="shared" si="157"/>
        <v>0.83835792583333324</v>
      </c>
      <c r="O508" s="62">
        <f t="shared" si="157"/>
        <v>0.83835792583333324</v>
      </c>
      <c r="P508" s="62">
        <f t="shared" si="155"/>
        <v>10.060295109999998</v>
      </c>
    </row>
    <row r="509" spans="2:16" ht="13.5" thickBot="1" x14ac:dyDescent="0.35">
      <c r="B509" s="20"/>
      <c r="C509" s="97" t="s">
        <v>177</v>
      </c>
      <c r="D509" s="98">
        <f t="shared" ref="D509:O509" si="158">SUM(D502:D508)</f>
        <v>60.287099619166661</v>
      </c>
      <c r="E509" s="98">
        <f t="shared" si="158"/>
        <v>60.287099619166661</v>
      </c>
      <c r="F509" s="98">
        <f t="shared" si="158"/>
        <v>60.287099619166661</v>
      </c>
      <c r="G509" s="98">
        <f t="shared" si="158"/>
        <v>60.287099619166661</v>
      </c>
      <c r="H509" s="98">
        <f t="shared" si="158"/>
        <v>62.250460462808284</v>
      </c>
      <c r="I509" s="98">
        <f t="shared" si="158"/>
        <v>61.325895992802508</v>
      </c>
      <c r="J509" s="98">
        <f t="shared" si="158"/>
        <v>60.287099619166661</v>
      </c>
      <c r="K509" s="98">
        <f t="shared" si="158"/>
        <v>63.01573925244292</v>
      </c>
      <c r="L509" s="98">
        <f t="shared" si="158"/>
        <v>64.006119147674539</v>
      </c>
      <c r="M509" s="98">
        <f t="shared" si="158"/>
        <v>68.27258436508852</v>
      </c>
      <c r="N509" s="98">
        <f t="shared" si="158"/>
        <v>64.842892829993644</v>
      </c>
      <c r="O509" s="98">
        <f t="shared" si="158"/>
        <v>74.251910570724363</v>
      </c>
      <c r="P509" s="98">
        <f t="shared" si="155"/>
        <v>759.40110071736797</v>
      </c>
    </row>
    <row r="510" spans="2:16" x14ac:dyDescent="0.3">
      <c r="B510" s="20"/>
      <c r="C510" s="90" t="s">
        <v>178</v>
      </c>
      <c r="D510" s="62">
        <f>[7]Sheet3!$N$4/1000000</f>
        <v>0.41917896291666662</v>
      </c>
      <c r="E510" s="62">
        <f>D510</f>
        <v>0.41917896291666662</v>
      </c>
      <c r="F510" s="62">
        <f t="shared" ref="F510:O514" si="159">E510</f>
        <v>0.41917896291666662</v>
      </c>
      <c r="G510" s="62">
        <f t="shared" si="159"/>
        <v>0.41917896291666662</v>
      </c>
      <c r="H510" s="62">
        <f t="shared" si="159"/>
        <v>0.41917896291666662</v>
      </c>
      <c r="I510" s="62">
        <f t="shared" si="159"/>
        <v>0.41917896291666662</v>
      </c>
      <c r="J510" s="62">
        <f t="shared" si="159"/>
        <v>0.41917896291666662</v>
      </c>
      <c r="K510" s="62">
        <f t="shared" si="159"/>
        <v>0.41917896291666662</v>
      </c>
      <c r="L510" s="62">
        <f t="shared" si="159"/>
        <v>0.41917896291666662</v>
      </c>
      <c r="M510" s="62">
        <f t="shared" si="159"/>
        <v>0.41917896291666662</v>
      </c>
      <c r="N510" s="62">
        <f t="shared" si="159"/>
        <v>0.41917896291666662</v>
      </c>
      <c r="O510" s="62">
        <f t="shared" si="159"/>
        <v>0.41917896291666662</v>
      </c>
      <c r="P510" s="62">
        <f t="shared" si="155"/>
        <v>5.0301475549999992</v>
      </c>
    </row>
    <row r="511" spans="2:16" x14ac:dyDescent="0.3">
      <c r="B511" s="20"/>
      <c r="C511" s="90" t="s">
        <v>179</v>
      </c>
      <c r="D511" s="62">
        <f>('[9]Budget Benefit per cost center'!$E$13+'[9]Budget Benefit per cost center'!$F$13+'[9]Budget Benefit per cost center'!$G$13)/1000000</f>
        <v>6.7168877619999998</v>
      </c>
      <c r="E511" s="62">
        <f>D511</f>
        <v>6.7168877619999998</v>
      </c>
      <c r="F511" s="62">
        <f t="shared" si="159"/>
        <v>6.7168877619999998</v>
      </c>
      <c r="G511" s="62">
        <f t="shared" si="159"/>
        <v>6.7168877619999998</v>
      </c>
      <c r="H511" s="62">
        <f t="shared" si="159"/>
        <v>6.7168877619999998</v>
      </c>
      <c r="I511" s="62">
        <f t="shared" si="159"/>
        <v>6.7168877619999998</v>
      </c>
      <c r="J511" s="62">
        <f t="shared" si="159"/>
        <v>6.7168877619999998</v>
      </c>
      <c r="K511" s="62">
        <f t="shared" si="159"/>
        <v>6.7168877619999998</v>
      </c>
      <c r="L511" s="62">
        <f t="shared" si="159"/>
        <v>6.7168877619999998</v>
      </c>
      <c r="M511" s="62">
        <f t="shared" si="159"/>
        <v>6.7168877619999998</v>
      </c>
      <c r="N511" s="62">
        <f t="shared" si="159"/>
        <v>6.7168877619999998</v>
      </c>
      <c r="O511" s="62">
        <f t="shared" si="159"/>
        <v>6.7168877619999998</v>
      </c>
      <c r="P511" s="62">
        <f t="shared" si="155"/>
        <v>80.602653144000001</v>
      </c>
    </row>
    <row r="512" spans="2:16" x14ac:dyDescent="0.3">
      <c r="B512" s="20"/>
      <c r="C512" s="90" t="s">
        <v>180</v>
      </c>
      <c r="D512" s="62">
        <f>([7]Sheet3!$I$4+[7]Sheet3!$M$4)/1000000</f>
        <v>0.23229254583333334</v>
      </c>
      <c r="E512" s="62">
        <f>D512</f>
        <v>0.23229254583333334</v>
      </c>
      <c r="F512" s="62">
        <f t="shared" si="159"/>
        <v>0.23229254583333334</v>
      </c>
      <c r="G512" s="62">
        <f t="shared" si="159"/>
        <v>0.23229254583333334</v>
      </c>
      <c r="H512" s="62">
        <f t="shared" si="159"/>
        <v>0.23229254583333334</v>
      </c>
      <c r="I512" s="62">
        <f t="shared" si="159"/>
        <v>0.23229254583333334</v>
      </c>
      <c r="J512" s="62">
        <f t="shared" si="159"/>
        <v>0.23229254583333334</v>
      </c>
      <c r="K512" s="62">
        <f t="shared" si="159"/>
        <v>0.23229254583333334</v>
      </c>
      <c r="L512" s="62">
        <f t="shared" si="159"/>
        <v>0.23229254583333334</v>
      </c>
      <c r="M512" s="62">
        <f t="shared" si="159"/>
        <v>0.23229254583333334</v>
      </c>
      <c r="N512" s="62">
        <f t="shared" si="159"/>
        <v>0.23229254583333334</v>
      </c>
      <c r="O512" s="62">
        <f t="shared" si="159"/>
        <v>0.23229254583333334</v>
      </c>
      <c r="P512" s="62">
        <f t="shared" si="155"/>
        <v>2.7875105499999999</v>
      </c>
    </row>
    <row r="513" spans="1:16" x14ac:dyDescent="0.3">
      <c r="B513" s="20"/>
      <c r="C513" s="90" t="s">
        <v>181</v>
      </c>
      <c r="D513" s="62">
        <f>[7]Sheet3!$L$4/1000000</f>
        <v>0.60361770659999991</v>
      </c>
      <c r="E513" s="62">
        <f>D513</f>
        <v>0.60361770659999991</v>
      </c>
      <c r="F513" s="62">
        <f t="shared" si="159"/>
        <v>0.60361770659999991</v>
      </c>
      <c r="G513" s="62">
        <f t="shared" si="159"/>
        <v>0.60361770659999991</v>
      </c>
      <c r="H513" s="62">
        <f t="shared" si="159"/>
        <v>0.60361770659999991</v>
      </c>
      <c r="I513" s="62">
        <f t="shared" si="159"/>
        <v>0.60361770659999991</v>
      </c>
      <c r="J513" s="62">
        <f t="shared" si="159"/>
        <v>0.60361770659999991</v>
      </c>
      <c r="K513" s="62">
        <f t="shared" si="159"/>
        <v>0.60361770659999991</v>
      </c>
      <c r="L513" s="62">
        <f t="shared" si="159"/>
        <v>0.60361770659999991</v>
      </c>
      <c r="M513" s="62">
        <f t="shared" si="159"/>
        <v>0.60361770659999991</v>
      </c>
      <c r="N513" s="62">
        <f t="shared" si="159"/>
        <v>0.60361770659999991</v>
      </c>
      <c r="O513" s="62">
        <f t="shared" si="159"/>
        <v>0.60361770659999991</v>
      </c>
      <c r="P513" s="62">
        <f t="shared" si="155"/>
        <v>7.2434124791999972</v>
      </c>
    </row>
    <row r="514" spans="1:16" x14ac:dyDescent="0.3">
      <c r="B514" s="20"/>
      <c r="C514" s="90" t="s">
        <v>182</v>
      </c>
      <c r="D514" s="62">
        <f>('[9]Budget Benefit per cost center'!$C$13+('[9]Budget Benefit per cost center'!$D$13/12))/1000000+(([7]Sheet3!$J$4+[7]Sheet3!$K$4)/1000000)</f>
        <v>2.2292333333333332</v>
      </c>
      <c r="E514" s="62">
        <f>D514</f>
        <v>2.2292333333333332</v>
      </c>
      <c r="F514" s="62">
        <f t="shared" si="159"/>
        <v>2.2292333333333332</v>
      </c>
      <c r="G514" s="62">
        <f t="shared" si="159"/>
        <v>2.2292333333333332</v>
      </c>
      <c r="H514" s="62">
        <f t="shared" si="159"/>
        <v>2.2292333333333332</v>
      </c>
      <c r="I514" s="62">
        <f t="shared" si="159"/>
        <v>2.2292333333333332</v>
      </c>
      <c r="J514" s="62">
        <f t="shared" si="159"/>
        <v>2.2292333333333332</v>
      </c>
      <c r="K514" s="62">
        <f t="shared" si="159"/>
        <v>2.2292333333333332</v>
      </c>
      <c r="L514" s="62">
        <f t="shared" si="159"/>
        <v>2.2292333333333332</v>
      </c>
      <c r="M514" s="62">
        <f t="shared" si="159"/>
        <v>2.2292333333333332</v>
      </c>
      <c r="N514" s="62">
        <f t="shared" si="159"/>
        <v>2.2292333333333332</v>
      </c>
      <c r="O514" s="62">
        <f t="shared" si="159"/>
        <v>2.2292333333333332</v>
      </c>
      <c r="P514" s="62">
        <f t="shared" si="155"/>
        <v>26.750799999999998</v>
      </c>
    </row>
    <row r="515" spans="1:16" ht="13.5" thickBot="1" x14ac:dyDescent="0.35">
      <c r="A515" s="20"/>
      <c r="B515" s="20"/>
      <c r="C515" s="99" t="s">
        <v>183</v>
      </c>
      <c r="D515" s="100">
        <f t="shared" ref="D515:O515" si="160">SUM(D510:D514)</f>
        <v>10.201210310683333</v>
      </c>
      <c r="E515" s="100">
        <f t="shared" si="160"/>
        <v>10.201210310683333</v>
      </c>
      <c r="F515" s="100">
        <f t="shared" si="160"/>
        <v>10.201210310683333</v>
      </c>
      <c r="G515" s="100">
        <f t="shared" si="160"/>
        <v>10.201210310683333</v>
      </c>
      <c r="H515" s="100">
        <f t="shared" si="160"/>
        <v>10.201210310683333</v>
      </c>
      <c r="I515" s="100">
        <f t="shared" si="160"/>
        <v>10.201210310683333</v>
      </c>
      <c r="J515" s="100">
        <f t="shared" si="160"/>
        <v>10.201210310683333</v>
      </c>
      <c r="K515" s="100">
        <f t="shared" si="160"/>
        <v>10.201210310683333</v>
      </c>
      <c r="L515" s="100">
        <f t="shared" si="160"/>
        <v>10.201210310683333</v>
      </c>
      <c r="M515" s="100">
        <f t="shared" si="160"/>
        <v>10.201210310683333</v>
      </c>
      <c r="N515" s="100">
        <f t="shared" si="160"/>
        <v>10.201210310683333</v>
      </c>
      <c r="O515" s="100">
        <f t="shared" si="160"/>
        <v>10.201210310683333</v>
      </c>
      <c r="P515" s="100">
        <f t="shared" si="155"/>
        <v>122.41452372820002</v>
      </c>
    </row>
    <row r="516" spans="1:16" ht="13.5" thickBot="1" x14ac:dyDescent="0.35">
      <c r="A516" s="20"/>
      <c r="B516" s="20"/>
      <c r="C516" s="92" t="s">
        <v>184</v>
      </c>
      <c r="D516" s="93">
        <f t="shared" ref="D516:P516" si="161">D481+D501+D509+D515</f>
        <v>210.17639359651668</v>
      </c>
      <c r="E516" s="93">
        <f t="shared" si="161"/>
        <v>210.17639359651668</v>
      </c>
      <c r="F516" s="93">
        <f t="shared" si="161"/>
        <v>210.17639359651668</v>
      </c>
      <c r="G516" s="93">
        <f t="shared" si="161"/>
        <v>210.17639359651668</v>
      </c>
      <c r="H516" s="93">
        <f t="shared" si="161"/>
        <v>212.1397544401583</v>
      </c>
      <c r="I516" s="93">
        <f t="shared" si="161"/>
        <v>211.21518997015252</v>
      </c>
      <c r="J516" s="93">
        <f t="shared" si="161"/>
        <v>210.17639359651668</v>
      </c>
      <c r="K516" s="93">
        <f t="shared" si="161"/>
        <v>212.90503322979293</v>
      </c>
      <c r="L516" s="93">
        <f t="shared" si="161"/>
        <v>213.89541312502456</v>
      </c>
      <c r="M516" s="93">
        <f t="shared" si="161"/>
        <v>218.16187834243851</v>
      </c>
      <c r="N516" s="93">
        <f t="shared" si="161"/>
        <v>214.73218680734365</v>
      </c>
      <c r="O516" s="93">
        <f t="shared" si="161"/>
        <v>224.14120454807437</v>
      </c>
      <c r="P516" s="93">
        <f t="shared" si="161"/>
        <v>2558.0726284455677</v>
      </c>
    </row>
    <row r="517" spans="1:16" ht="13.5" thickBot="1" x14ac:dyDescent="0.35">
      <c r="C517" s="118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</row>
    <row r="518" spans="1:16" ht="13.5" thickBot="1" x14ac:dyDescent="0.35">
      <c r="C518" s="119"/>
      <c r="D518" s="120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</row>
    <row r="519" spans="1:16" ht="14" thickTop="1" thickBot="1" x14ac:dyDescent="0.35">
      <c r="C519" s="127" t="s">
        <v>248</v>
      </c>
      <c r="D519" s="122">
        <f>D516+D518</f>
        <v>210.17639359651668</v>
      </c>
      <c r="E519" s="122">
        <f t="shared" ref="E519:P519" si="162">E516+E518</f>
        <v>210.17639359651668</v>
      </c>
      <c r="F519" s="122">
        <f t="shared" si="162"/>
        <v>210.17639359651668</v>
      </c>
      <c r="G519" s="122">
        <f t="shared" si="162"/>
        <v>210.17639359651668</v>
      </c>
      <c r="H519" s="122">
        <f t="shared" si="162"/>
        <v>212.1397544401583</v>
      </c>
      <c r="I519" s="122">
        <f t="shared" si="162"/>
        <v>211.21518997015252</v>
      </c>
      <c r="J519" s="122">
        <f t="shared" si="162"/>
        <v>210.17639359651668</v>
      </c>
      <c r="K519" s="122">
        <f t="shared" si="162"/>
        <v>212.90503322979293</v>
      </c>
      <c r="L519" s="122">
        <f t="shared" si="162"/>
        <v>213.89541312502456</v>
      </c>
      <c r="M519" s="122">
        <f t="shared" si="162"/>
        <v>218.16187834243851</v>
      </c>
      <c r="N519" s="122">
        <f t="shared" si="162"/>
        <v>214.73218680734365</v>
      </c>
      <c r="O519" s="122">
        <f t="shared" si="162"/>
        <v>224.14120454807437</v>
      </c>
      <c r="P519" s="122">
        <f t="shared" si="162"/>
        <v>2558.0726284455677</v>
      </c>
    </row>
    <row r="520" spans="1:16" ht="13.5" thickTop="1" x14ac:dyDescent="0.3">
      <c r="C520" s="123"/>
      <c r="D520" s="124"/>
      <c r="E520" s="124"/>
      <c r="F520" s="124"/>
      <c r="G520" s="124"/>
      <c r="H520" s="124"/>
      <c r="I520" s="124"/>
      <c r="J520" s="124"/>
      <c r="K520" s="124"/>
      <c r="L520" s="124"/>
      <c r="M520" s="124"/>
      <c r="N520" s="124"/>
      <c r="O520" s="124"/>
      <c r="P520" s="124"/>
    </row>
    <row r="521" spans="1:16" x14ac:dyDescent="0.3">
      <c r="C521" s="123"/>
      <c r="D521" s="124"/>
      <c r="E521" s="124"/>
      <c r="F521" s="124"/>
      <c r="G521" s="124"/>
      <c r="H521" s="124"/>
      <c r="I521" s="124"/>
      <c r="J521" s="124"/>
      <c r="K521" s="124"/>
      <c r="L521" s="124"/>
      <c r="M521" s="124"/>
      <c r="N521" s="124"/>
      <c r="O521" s="124"/>
      <c r="P521" s="124"/>
    </row>
    <row r="522" spans="1:16" ht="13.5" thickBot="1" x14ac:dyDescent="0.35">
      <c r="C522" s="66" t="s">
        <v>255</v>
      </c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</row>
    <row r="523" spans="1:16" ht="13.5" customHeight="1" thickBot="1" x14ac:dyDescent="0.35">
      <c r="C523" s="23" t="s">
        <v>69</v>
      </c>
      <c r="D523" s="24" t="s">
        <v>70</v>
      </c>
      <c r="E523" s="24" t="s">
        <v>71</v>
      </c>
      <c r="F523" s="24" t="s">
        <v>72</v>
      </c>
      <c r="G523" s="24" t="s">
        <v>73</v>
      </c>
      <c r="H523" s="24" t="s">
        <v>74</v>
      </c>
      <c r="I523" s="24" t="s">
        <v>75</v>
      </c>
      <c r="J523" s="24" t="s">
        <v>76</v>
      </c>
      <c r="K523" s="24" t="s">
        <v>77</v>
      </c>
      <c r="L523" s="24" t="s">
        <v>78</v>
      </c>
      <c r="M523" s="24" t="s">
        <v>79</v>
      </c>
      <c r="N523" s="24" t="s">
        <v>80</v>
      </c>
      <c r="O523" s="24" t="s">
        <v>81</v>
      </c>
      <c r="P523" s="25" t="s">
        <v>110</v>
      </c>
    </row>
    <row r="524" spans="1:16" ht="13.5" thickBot="1" x14ac:dyDescent="0.35">
      <c r="C524" s="116" t="s">
        <v>247</v>
      </c>
      <c r="D524" s="117"/>
      <c r="E524" s="117"/>
      <c r="F524" s="117"/>
      <c r="G524" s="117"/>
      <c r="H524" s="117"/>
      <c r="I524" s="117"/>
      <c r="J524" s="117"/>
      <c r="K524" s="117"/>
      <c r="L524" s="117"/>
      <c r="M524" s="117"/>
      <c r="N524" s="117"/>
      <c r="O524" s="117"/>
      <c r="P524" s="117"/>
    </row>
    <row r="525" spans="1:16" x14ac:dyDescent="0.3">
      <c r="C525" s="86"/>
      <c r="D525" s="87"/>
      <c r="E525" s="88"/>
      <c r="F525" s="89"/>
      <c r="G525" s="89"/>
      <c r="H525" s="89"/>
      <c r="I525" s="89"/>
      <c r="J525" s="89"/>
      <c r="K525" s="89"/>
      <c r="L525" s="87"/>
      <c r="M525" s="89"/>
      <c r="N525" s="89"/>
      <c r="O525" s="89"/>
      <c r="P525" s="89"/>
    </row>
    <row r="526" spans="1:16" x14ac:dyDescent="0.3">
      <c r="C526" s="90" t="s">
        <v>147</v>
      </c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>
        <f t="shared" ref="P526:P528" si="163">D526+E526+F526+G526+H526+I526+J526+K526+L526+M526+N526+O526</f>
        <v>0</v>
      </c>
    </row>
    <row r="527" spans="1:16" x14ac:dyDescent="0.3">
      <c r="C527" s="33" t="s">
        <v>148</v>
      </c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>
        <f t="shared" si="163"/>
        <v>0</v>
      </c>
    </row>
    <row r="528" spans="1:16" x14ac:dyDescent="0.3">
      <c r="C528" s="90" t="s">
        <v>149</v>
      </c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>
        <f t="shared" si="163"/>
        <v>0</v>
      </c>
    </row>
    <row r="529" spans="1:16" ht="13.5" thickBot="1" x14ac:dyDescent="0.35">
      <c r="C529" s="90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</row>
    <row r="530" spans="1:16" ht="13.5" thickBot="1" x14ac:dyDescent="0.35">
      <c r="A530" s="20"/>
      <c r="B530" s="20"/>
      <c r="C530" s="92" t="s">
        <v>150</v>
      </c>
      <c r="D530" s="93">
        <f t="shared" ref="D530:P530" si="164">SUM(D526:D529)</f>
        <v>0</v>
      </c>
      <c r="E530" s="93">
        <f t="shared" si="164"/>
        <v>0</v>
      </c>
      <c r="F530" s="93">
        <f t="shared" si="164"/>
        <v>0</v>
      </c>
      <c r="G530" s="93">
        <f t="shared" si="164"/>
        <v>0</v>
      </c>
      <c r="H530" s="93">
        <f t="shared" si="164"/>
        <v>0</v>
      </c>
      <c r="I530" s="93">
        <f t="shared" si="164"/>
        <v>0</v>
      </c>
      <c r="J530" s="93">
        <f t="shared" si="164"/>
        <v>0</v>
      </c>
      <c r="K530" s="93">
        <f t="shared" si="164"/>
        <v>0</v>
      </c>
      <c r="L530" s="93">
        <f t="shared" si="164"/>
        <v>0</v>
      </c>
      <c r="M530" s="93">
        <f t="shared" si="164"/>
        <v>0</v>
      </c>
      <c r="N530" s="93">
        <f t="shared" si="164"/>
        <v>0</v>
      </c>
      <c r="O530" s="93">
        <f t="shared" si="164"/>
        <v>0</v>
      </c>
      <c r="P530" s="93">
        <f t="shared" si="164"/>
        <v>0</v>
      </c>
    </row>
    <row r="531" spans="1:16" x14ac:dyDescent="0.3">
      <c r="C531" s="94"/>
      <c r="D531" s="107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43"/>
    </row>
    <row r="532" spans="1:16" x14ac:dyDescent="0.3">
      <c r="C532" s="90" t="s">
        <v>151</v>
      </c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62">
        <f t="shared" ref="P532:P549" si="165">D532+E532+F532+G532+H532+I532+J532+K532+L532+M532+N532+O532</f>
        <v>0</v>
      </c>
    </row>
    <row r="533" spans="1:16" x14ac:dyDescent="0.3">
      <c r="C533" s="90" t="s">
        <v>152</v>
      </c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62">
        <f t="shared" si="165"/>
        <v>0</v>
      </c>
    </row>
    <row r="534" spans="1:16" x14ac:dyDescent="0.3">
      <c r="C534" s="90" t="s">
        <v>153</v>
      </c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62">
        <f t="shared" si="165"/>
        <v>0</v>
      </c>
    </row>
    <row r="535" spans="1:16" x14ac:dyDescent="0.3">
      <c r="C535" s="90" t="s">
        <v>154</v>
      </c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62">
        <f t="shared" si="165"/>
        <v>0</v>
      </c>
    </row>
    <row r="536" spans="1:16" x14ac:dyDescent="0.3">
      <c r="C536" s="90" t="s">
        <v>155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62">
        <f t="shared" si="165"/>
        <v>0</v>
      </c>
    </row>
    <row r="537" spans="1:16" x14ac:dyDescent="0.3">
      <c r="C537" s="90" t="s">
        <v>156</v>
      </c>
      <c r="D537" s="103">
        <f>[15]Sheet1!D529/1000000</f>
        <v>0</v>
      </c>
      <c r="E537" s="103">
        <f>[15]Sheet1!E529/1000000</f>
        <v>0</v>
      </c>
      <c r="F537" s="103">
        <f>[15]Sheet1!F529/1000000</f>
        <v>0</v>
      </c>
      <c r="G537" s="103">
        <f>[15]Sheet1!G529/1000000</f>
        <v>0</v>
      </c>
      <c r="H537" s="103">
        <f>[15]Sheet1!H529/1000000</f>
        <v>0</v>
      </c>
      <c r="I537" s="103">
        <f>[15]Sheet1!I529/1000000</f>
        <v>0</v>
      </c>
      <c r="J537" s="103">
        <f>[15]Sheet1!J529/1000000</f>
        <v>0</v>
      </c>
      <c r="K537" s="103">
        <f>[15]Sheet1!K529/1000000</f>
        <v>0</v>
      </c>
      <c r="L537" s="103">
        <f>[15]Sheet1!L529/1000000</f>
        <v>0</v>
      </c>
      <c r="M537" s="103">
        <f>[15]Sheet1!M529/1000000</f>
        <v>0</v>
      </c>
      <c r="N537" s="103">
        <f>[15]Sheet1!N529/1000000</f>
        <v>0</v>
      </c>
      <c r="O537" s="103">
        <f>[15]Sheet1!O529/1000000</f>
        <v>0</v>
      </c>
      <c r="P537" s="62">
        <f t="shared" si="165"/>
        <v>0</v>
      </c>
    </row>
    <row r="538" spans="1:16" x14ac:dyDescent="0.3">
      <c r="C538" s="90" t="s">
        <v>157</v>
      </c>
      <c r="D538" s="103">
        <f>[15]Sheet1!D530/1000000</f>
        <v>0</v>
      </c>
      <c r="E538" s="103">
        <f>[15]Sheet1!E530/1000000</f>
        <v>0</v>
      </c>
      <c r="F538" s="103">
        <f>[15]Sheet1!F530/1000000</f>
        <v>0</v>
      </c>
      <c r="G538" s="103">
        <f>[15]Sheet1!G530/1000000</f>
        <v>0</v>
      </c>
      <c r="H538" s="103">
        <f>[15]Sheet1!H530/1000000</f>
        <v>0</v>
      </c>
      <c r="I538" s="103">
        <f>[15]Sheet1!I530/1000000</f>
        <v>0</v>
      </c>
      <c r="J538" s="103">
        <f>[15]Sheet1!J530/1000000</f>
        <v>0</v>
      </c>
      <c r="K538" s="103">
        <f>[15]Sheet1!K530/1000000</f>
        <v>0</v>
      </c>
      <c r="L538" s="103">
        <f>[15]Sheet1!L530/1000000</f>
        <v>0</v>
      </c>
      <c r="M538" s="103">
        <f>[15]Sheet1!M530/1000000</f>
        <v>0</v>
      </c>
      <c r="N538" s="103">
        <f>[15]Sheet1!N530/1000000</f>
        <v>0</v>
      </c>
      <c r="O538" s="103">
        <f>[15]Sheet1!O530/1000000</f>
        <v>0</v>
      </c>
      <c r="P538" s="62">
        <f t="shared" si="165"/>
        <v>0</v>
      </c>
    </row>
    <row r="539" spans="1:16" x14ac:dyDescent="0.3">
      <c r="B539" s="20"/>
      <c r="C539" s="90" t="s">
        <v>158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62">
        <f t="shared" si="165"/>
        <v>0</v>
      </c>
    </row>
    <row r="540" spans="1:16" x14ac:dyDescent="0.3">
      <c r="C540" s="90" t="s">
        <v>159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62">
        <f t="shared" si="165"/>
        <v>0</v>
      </c>
    </row>
    <row r="541" spans="1:16" x14ac:dyDescent="0.3">
      <c r="C541" s="90" t="s">
        <v>160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62">
        <f t="shared" si="165"/>
        <v>0</v>
      </c>
    </row>
    <row r="542" spans="1:16" x14ac:dyDescent="0.3">
      <c r="C542" s="90" t="s">
        <v>161</v>
      </c>
      <c r="D542" s="103">
        <f>'[13]Budget Depre'!E27/1000000</f>
        <v>0</v>
      </c>
      <c r="E542" s="103">
        <f>'[13]Budget Depre'!F27/1000000</f>
        <v>4.1666666666666661</v>
      </c>
      <c r="F542" s="103">
        <f>'[13]Budget Depre'!G27/1000000</f>
        <v>4.1666666666666661</v>
      </c>
      <c r="G542" s="103">
        <f>'[13]Budget Depre'!H27/1000000</f>
        <v>6.6666666666666661</v>
      </c>
      <c r="H542" s="103">
        <f>'[13]Budget Depre'!I27/1000000</f>
        <v>6.6666666666666661</v>
      </c>
      <c r="I542" s="103">
        <f>'[13]Budget Depre'!J27/1000000</f>
        <v>6.6666666666666661</v>
      </c>
      <c r="J542" s="103">
        <f>'[13]Budget Depre'!K27/1000000</f>
        <v>6.6666666666666661</v>
      </c>
      <c r="K542" s="103">
        <f>'[13]Budget Depre'!L27/1000000</f>
        <v>6.6666666666666661</v>
      </c>
      <c r="L542" s="103">
        <f>'[13]Budget Depre'!M27/1000000</f>
        <v>6.6666666666666661</v>
      </c>
      <c r="M542" s="103">
        <f>'[13]Budget Depre'!N27/1000000</f>
        <v>6.6666666666666661</v>
      </c>
      <c r="N542" s="103">
        <f>'[13]Budget Depre'!O27/1000000</f>
        <v>6.6666666666666661</v>
      </c>
      <c r="O542" s="103">
        <f>'[13]Budget Depre'!P27/1000000</f>
        <v>6.6666666666666661</v>
      </c>
      <c r="P542" s="62">
        <f t="shared" si="165"/>
        <v>68.333333333333314</v>
      </c>
    </row>
    <row r="543" spans="1:16" x14ac:dyDescent="0.3">
      <c r="C543" s="90" t="s">
        <v>162</v>
      </c>
      <c r="D543" s="103">
        <f>'[13]Budget Depre'!E28/1000000</f>
        <v>0.29266599999999998</v>
      </c>
      <c r="E543" s="103">
        <f>'[13]Budget Depre'!F28/1000000</f>
        <v>0.29266599999999998</v>
      </c>
      <c r="F543" s="103">
        <f>'[13]Budget Depre'!G28/1000000</f>
        <v>0.54266599999999998</v>
      </c>
      <c r="G543" s="103">
        <f>'[13]Budget Depre'!H28/1000000</f>
        <v>0.54266599999999998</v>
      </c>
      <c r="H543" s="103">
        <f>'[13]Budget Depre'!I28/1000000</f>
        <v>0.54266599999999998</v>
      </c>
      <c r="I543" s="103">
        <f>'[13]Budget Depre'!J28/1000000</f>
        <v>0.54266599999999998</v>
      </c>
      <c r="J543" s="103">
        <f>'[13]Budget Depre'!K28/1000000</f>
        <v>0.54266599999999998</v>
      </c>
      <c r="K543" s="103">
        <f>'[13]Budget Depre'!L28/1000000</f>
        <v>0.54266599999999998</v>
      </c>
      <c r="L543" s="103">
        <f>'[13]Budget Depre'!M28/1000000</f>
        <v>0.54266599999999998</v>
      </c>
      <c r="M543" s="103">
        <f>'[13]Budget Depre'!N28/1000000</f>
        <v>0.54266599999999998</v>
      </c>
      <c r="N543" s="103">
        <f>'[13]Budget Depre'!O28/1000000</f>
        <v>0.54266599999999998</v>
      </c>
      <c r="O543" s="103">
        <f>'[13]Budget Depre'!P28/1000000</f>
        <v>0.54266599999999998</v>
      </c>
      <c r="P543" s="62">
        <f t="shared" si="165"/>
        <v>6.0119919999999993</v>
      </c>
    </row>
    <row r="544" spans="1:16" x14ac:dyDescent="0.3">
      <c r="C544" s="90" t="s">
        <v>163</v>
      </c>
      <c r="D544" s="103">
        <f>'[13]Budget Depre'!E29/1000000</f>
        <v>0.52825200000000005</v>
      </c>
      <c r="E544" s="103">
        <f>'[13]Budget Depre'!F29/1000000</f>
        <v>0.52825200000000005</v>
      </c>
      <c r="F544" s="103">
        <f>'[13]Budget Depre'!G29/1000000</f>
        <v>0.52825200000000005</v>
      </c>
      <c r="G544" s="103">
        <f>'[13]Budget Depre'!H29/1000000</f>
        <v>0.52825200000000005</v>
      </c>
      <c r="H544" s="103">
        <f>'[13]Budget Depre'!I29/1000000</f>
        <v>0.52825200000000005</v>
      </c>
      <c r="I544" s="103">
        <f>'[13]Budget Depre'!J29/1000000</f>
        <v>0.52825200000000005</v>
      </c>
      <c r="J544" s="103">
        <f>'[13]Budget Depre'!K29/1000000</f>
        <v>0.52825200000000005</v>
      </c>
      <c r="K544" s="103">
        <f>'[13]Budget Depre'!L29/1000000</f>
        <v>0.52825200000000005</v>
      </c>
      <c r="L544" s="103">
        <f>'[13]Budget Depre'!M29/1000000</f>
        <v>0.52825200000000005</v>
      </c>
      <c r="M544" s="103">
        <f>'[13]Budget Depre'!N29/1000000</f>
        <v>0.52825200000000005</v>
      </c>
      <c r="N544" s="103">
        <f>'[13]Budget Depre'!O29/1000000</f>
        <v>0.52825200000000005</v>
      </c>
      <c r="O544" s="103">
        <f>'[13]Budget Depre'!P29/1000000</f>
        <v>0.52825200000000005</v>
      </c>
      <c r="P544" s="62">
        <f t="shared" si="165"/>
        <v>6.3390240000000011</v>
      </c>
    </row>
    <row r="545" spans="2:16" x14ac:dyDescent="0.3">
      <c r="C545" s="90" t="s">
        <v>164</v>
      </c>
      <c r="D545" s="103">
        <f>[18]EXPENSE!D10/1000000</f>
        <v>331.72226589473689</v>
      </c>
      <c r="E545" s="103">
        <f>[18]EXPENSE!E10/1000000</f>
        <v>322.69510839473685</v>
      </c>
      <c r="F545" s="103">
        <f>[18]EXPENSE!F10/1000000</f>
        <v>369.07896449999998</v>
      </c>
      <c r="G545" s="103">
        <f>[18]EXPENSE!G10/1000000</f>
        <v>271.6727768947369</v>
      </c>
      <c r="H545" s="103">
        <f>[18]EXPENSE!H10/1000000</f>
        <v>323.52228639473685</v>
      </c>
      <c r="I545" s="103">
        <f>[18]EXPENSE!I10/1000000</f>
        <v>371.61265300000002</v>
      </c>
      <c r="J545" s="103">
        <f>[18]EXPENSE!J10/1000000</f>
        <v>631.92933678947372</v>
      </c>
      <c r="K545" s="103">
        <f>[18]EXPENSE!K10/1000000</f>
        <v>598.44072978947372</v>
      </c>
      <c r="L545" s="103">
        <f>[18]EXPENSE!L10/1000000</f>
        <v>652.52211028947363</v>
      </c>
      <c r="M545" s="103">
        <f>[18]EXPENSE!M10/1000000</f>
        <v>633.25993078947363</v>
      </c>
      <c r="N545" s="103">
        <f>[18]EXPENSE!N10/1000000</f>
        <v>729.58045000000004</v>
      </c>
      <c r="O545" s="103">
        <f>[18]EXPENSE!O10/1000000</f>
        <v>659.61626339473685</v>
      </c>
      <c r="P545" s="62">
        <f t="shared" si="165"/>
        <v>5895.6528761315794</v>
      </c>
    </row>
    <row r="546" spans="2:16" x14ac:dyDescent="0.3">
      <c r="C546" s="90" t="s">
        <v>165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62">
        <f t="shared" si="165"/>
        <v>0</v>
      </c>
    </row>
    <row r="547" spans="2:16" x14ac:dyDescent="0.3">
      <c r="C547" s="90" t="s">
        <v>166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62">
        <f t="shared" si="165"/>
        <v>0</v>
      </c>
    </row>
    <row r="548" spans="2:16" x14ac:dyDescent="0.3">
      <c r="C548" s="90" t="s">
        <v>167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62">
        <f t="shared" si="165"/>
        <v>0</v>
      </c>
    </row>
    <row r="549" spans="2:16" ht="13.5" thickBot="1" x14ac:dyDescent="0.35">
      <c r="C549" s="90" t="s">
        <v>168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62">
        <f t="shared" si="165"/>
        <v>0</v>
      </c>
    </row>
    <row r="550" spans="2:16" ht="13.5" thickBot="1" x14ac:dyDescent="0.35">
      <c r="B550" s="20"/>
      <c r="C550" s="95" t="s">
        <v>169</v>
      </c>
      <c r="D550" s="93">
        <f t="shared" ref="D550:P550" si="166">SUM(D532:D549)</f>
        <v>332.5431838947369</v>
      </c>
      <c r="E550" s="93">
        <f t="shared" si="166"/>
        <v>327.68269306140354</v>
      </c>
      <c r="F550" s="93">
        <f t="shared" si="166"/>
        <v>374.31654916666668</v>
      </c>
      <c r="G550" s="93">
        <f t="shared" si="166"/>
        <v>279.41036156140359</v>
      </c>
      <c r="H550" s="93">
        <f t="shared" si="166"/>
        <v>331.25987106140354</v>
      </c>
      <c r="I550" s="93">
        <f t="shared" si="166"/>
        <v>379.35023766666671</v>
      </c>
      <c r="J550" s="93">
        <f t="shared" si="166"/>
        <v>639.66692145614036</v>
      </c>
      <c r="K550" s="93">
        <f t="shared" si="166"/>
        <v>606.17831445614036</v>
      </c>
      <c r="L550" s="93">
        <f t="shared" si="166"/>
        <v>660.25969495614027</v>
      </c>
      <c r="M550" s="93">
        <f t="shared" si="166"/>
        <v>640.99751545614026</v>
      </c>
      <c r="N550" s="93">
        <f t="shared" si="166"/>
        <v>737.31803466666668</v>
      </c>
      <c r="O550" s="93">
        <f t="shared" si="166"/>
        <v>667.35384806140348</v>
      </c>
      <c r="P550" s="93">
        <f t="shared" si="166"/>
        <v>5976.337225464913</v>
      </c>
    </row>
    <row r="551" spans="2:16" x14ac:dyDescent="0.3">
      <c r="C551" s="90" t="s">
        <v>170</v>
      </c>
      <c r="D551" s="62">
        <f>'[8]Budget Upah per cost center'!$C$14/1000000</f>
        <v>496.00447700000001</v>
      </c>
      <c r="E551" s="62">
        <f>D551</f>
        <v>496.00447700000001</v>
      </c>
      <c r="F551" s="62">
        <f t="shared" ref="F551:O551" si="167">E551</f>
        <v>496.00447700000001</v>
      </c>
      <c r="G551" s="62">
        <f t="shared" si="167"/>
        <v>496.00447700000001</v>
      </c>
      <c r="H551" s="62">
        <f t="shared" si="167"/>
        <v>496.00447700000001</v>
      </c>
      <c r="I551" s="62">
        <f t="shared" si="167"/>
        <v>496.00447700000001</v>
      </c>
      <c r="J551" s="62">
        <f t="shared" si="167"/>
        <v>496.00447700000001</v>
      </c>
      <c r="K551" s="62">
        <f t="shared" si="167"/>
        <v>496.00447700000001</v>
      </c>
      <c r="L551" s="62">
        <f t="shared" si="167"/>
        <v>496.00447700000001</v>
      </c>
      <c r="M551" s="62">
        <f t="shared" si="167"/>
        <v>496.00447700000001</v>
      </c>
      <c r="N551" s="62">
        <f t="shared" si="167"/>
        <v>496.00447700000001</v>
      </c>
      <c r="O551" s="62">
        <f t="shared" si="167"/>
        <v>496.00447700000001</v>
      </c>
      <c r="P551" s="62">
        <f t="shared" ref="P551:P564" si="168">D551+E551+F551+G551+H551+I551+J551+K551+L551+M551+N551+O551</f>
        <v>5952.0537240000012</v>
      </c>
    </row>
    <row r="552" spans="2:16" x14ac:dyDescent="0.3">
      <c r="C552" s="90" t="s">
        <v>171</v>
      </c>
      <c r="D552" s="62">
        <f>'[16]LEMBUR MO'!N10/1000000</f>
        <v>0</v>
      </c>
      <c r="E552" s="62">
        <f>'[16]LEMBUR MO'!O10/1000000</f>
        <v>0</v>
      </c>
      <c r="F552" s="62">
        <f>'[16]LEMBUR MO'!P10/1000000</f>
        <v>0</v>
      </c>
      <c r="G552" s="62">
        <f>'[16]LEMBUR MO'!Q10/1000000</f>
        <v>0</v>
      </c>
      <c r="H552" s="62">
        <f>'[16]LEMBUR MO'!R10/1000000</f>
        <v>0</v>
      </c>
      <c r="I552" s="62">
        <f>'[16]LEMBUR MO'!S10/1000000</f>
        <v>7.7261350735723706</v>
      </c>
      <c r="J552" s="62">
        <f>'[16]LEMBUR MO'!T10/1000000</f>
        <v>66.288057313921215</v>
      </c>
      <c r="K552" s="62">
        <f>'[16]LEMBUR MO'!U10/1000000</f>
        <v>8.6928334941621905</v>
      </c>
      <c r="L552" s="62">
        <f>'[16]LEMBUR MO'!V10/1000000</f>
        <v>64.64535635988949</v>
      </c>
      <c r="M552" s="62">
        <f>'[16]LEMBUR MO'!W10/1000000</f>
        <v>100.92856880715618</v>
      </c>
      <c r="N552" s="62">
        <f>'[16]LEMBUR MO'!X10/1000000</f>
        <v>30.562778756208097</v>
      </c>
      <c r="O552" s="62">
        <f>'[16]LEMBUR MO'!Y10/1000000</f>
        <v>39.24694837255938</v>
      </c>
      <c r="P552" s="62">
        <f t="shared" si="168"/>
        <v>318.09067817746887</v>
      </c>
    </row>
    <row r="553" spans="2:16" x14ac:dyDescent="0.3">
      <c r="C553" s="90" t="s">
        <v>172</v>
      </c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>
        <f t="shared" si="168"/>
        <v>0</v>
      </c>
    </row>
    <row r="554" spans="2:16" x14ac:dyDescent="0.3">
      <c r="C554" s="90" t="s">
        <v>173</v>
      </c>
      <c r="D554" s="62">
        <f>[7]Sheet3!$G$3/1000000</f>
        <v>26.481180440000003</v>
      </c>
      <c r="E554" s="62">
        <f>D554</f>
        <v>26.481180440000003</v>
      </c>
      <c r="F554" s="62">
        <f t="shared" ref="F554:O554" si="169">E554</f>
        <v>26.481180440000003</v>
      </c>
      <c r="G554" s="62">
        <f t="shared" si="169"/>
        <v>26.481180440000003</v>
      </c>
      <c r="H554" s="62">
        <f t="shared" si="169"/>
        <v>26.481180440000003</v>
      </c>
      <c r="I554" s="62">
        <f t="shared" si="169"/>
        <v>26.481180440000003</v>
      </c>
      <c r="J554" s="62">
        <f t="shared" si="169"/>
        <v>26.481180440000003</v>
      </c>
      <c r="K554" s="62">
        <f t="shared" si="169"/>
        <v>26.481180440000003</v>
      </c>
      <c r="L554" s="62">
        <f t="shared" si="169"/>
        <v>26.481180440000003</v>
      </c>
      <c r="M554" s="62">
        <f t="shared" si="169"/>
        <v>26.481180440000003</v>
      </c>
      <c r="N554" s="62">
        <f t="shared" si="169"/>
        <v>26.481180440000003</v>
      </c>
      <c r="O554" s="62">
        <f t="shared" si="169"/>
        <v>26.481180440000003</v>
      </c>
      <c r="P554" s="62">
        <f t="shared" si="168"/>
        <v>317.77416528000003</v>
      </c>
    </row>
    <row r="555" spans="2:16" x14ac:dyDescent="0.3">
      <c r="C555" s="90" t="s">
        <v>174</v>
      </c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>
        <f t="shared" si="168"/>
        <v>0</v>
      </c>
    </row>
    <row r="556" spans="2:16" x14ac:dyDescent="0.3">
      <c r="C556" s="90" t="s">
        <v>175</v>
      </c>
      <c r="D556" s="62">
        <f>('[8]Budget Upah per cost center'!$D$14/12)/1000000</f>
        <v>41.333706416666665</v>
      </c>
      <c r="E556" s="62">
        <f>D556</f>
        <v>41.333706416666665</v>
      </c>
      <c r="F556" s="62">
        <f t="shared" ref="F556:O557" si="170">E556</f>
        <v>41.333706416666665</v>
      </c>
      <c r="G556" s="62">
        <f t="shared" si="170"/>
        <v>41.333706416666665</v>
      </c>
      <c r="H556" s="62">
        <f t="shared" si="170"/>
        <v>41.333706416666665</v>
      </c>
      <c r="I556" s="62">
        <f t="shared" si="170"/>
        <v>41.333706416666665</v>
      </c>
      <c r="J556" s="62">
        <f t="shared" si="170"/>
        <v>41.333706416666665</v>
      </c>
      <c r="K556" s="62">
        <f t="shared" si="170"/>
        <v>41.333706416666665</v>
      </c>
      <c r="L556" s="62">
        <f t="shared" si="170"/>
        <v>41.333706416666665</v>
      </c>
      <c r="M556" s="62">
        <f t="shared" si="170"/>
        <v>41.333706416666665</v>
      </c>
      <c r="N556" s="62">
        <f t="shared" si="170"/>
        <v>41.333706416666665</v>
      </c>
      <c r="O556" s="62">
        <f t="shared" si="170"/>
        <v>41.333706416666665</v>
      </c>
      <c r="P556" s="62">
        <f t="shared" si="168"/>
        <v>496.00447699999989</v>
      </c>
    </row>
    <row r="557" spans="2:16" ht="13.5" thickBot="1" x14ac:dyDescent="0.35">
      <c r="C557" s="90" t="s">
        <v>176</v>
      </c>
      <c r="D557" s="62">
        <f>[7]Sheet3!$H$3/1000000</f>
        <v>1.839265036666667</v>
      </c>
      <c r="E557" s="62">
        <f>D557</f>
        <v>1.839265036666667</v>
      </c>
      <c r="F557" s="62">
        <f t="shared" si="170"/>
        <v>1.839265036666667</v>
      </c>
      <c r="G557" s="62">
        <f t="shared" si="170"/>
        <v>1.839265036666667</v>
      </c>
      <c r="H557" s="62">
        <f t="shared" si="170"/>
        <v>1.839265036666667</v>
      </c>
      <c r="I557" s="62">
        <f t="shared" si="170"/>
        <v>1.839265036666667</v>
      </c>
      <c r="J557" s="62">
        <f t="shared" si="170"/>
        <v>1.839265036666667</v>
      </c>
      <c r="K557" s="62">
        <f t="shared" si="170"/>
        <v>1.839265036666667</v>
      </c>
      <c r="L557" s="62">
        <f t="shared" si="170"/>
        <v>1.839265036666667</v>
      </c>
      <c r="M557" s="62">
        <f t="shared" si="170"/>
        <v>1.839265036666667</v>
      </c>
      <c r="N557" s="62">
        <f t="shared" si="170"/>
        <v>1.839265036666667</v>
      </c>
      <c r="O557" s="62">
        <f t="shared" si="170"/>
        <v>1.839265036666667</v>
      </c>
      <c r="P557" s="62">
        <f t="shared" si="168"/>
        <v>22.071180440000003</v>
      </c>
    </row>
    <row r="558" spans="2:16" ht="13.5" thickBot="1" x14ac:dyDescent="0.35">
      <c r="B558" s="20"/>
      <c r="C558" s="97" t="s">
        <v>177</v>
      </c>
      <c r="D558" s="98">
        <f t="shared" ref="D558:O558" si="171">SUM(D551:D557)</f>
        <v>565.65862889333346</v>
      </c>
      <c r="E558" s="98">
        <f t="shared" si="171"/>
        <v>565.65862889333346</v>
      </c>
      <c r="F558" s="98">
        <f t="shared" si="171"/>
        <v>565.65862889333346</v>
      </c>
      <c r="G558" s="98">
        <f t="shared" si="171"/>
        <v>565.65862889333346</v>
      </c>
      <c r="H558" s="98">
        <f t="shared" si="171"/>
        <v>565.65862889333346</v>
      </c>
      <c r="I558" s="98">
        <f t="shared" si="171"/>
        <v>573.38476396690578</v>
      </c>
      <c r="J558" s="98">
        <f t="shared" si="171"/>
        <v>631.94668620725463</v>
      </c>
      <c r="K558" s="98">
        <f t="shared" si="171"/>
        <v>574.35146238749564</v>
      </c>
      <c r="L558" s="98">
        <f t="shared" si="171"/>
        <v>630.30398525322289</v>
      </c>
      <c r="M558" s="98">
        <f t="shared" si="171"/>
        <v>666.58719770048958</v>
      </c>
      <c r="N558" s="98">
        <f t="shared" si="171"/>
        <v>596.22140764954145</v>
      </c>
      <c r="O558" s="98">
        <f t="shared" si="171"/>
        <v>604.90557726589282</v>
      </c>
      <c r="P558" s="98">
        <f t="shared" si="168"/>
        <v>7105.9942248974703</v>
      </c>
    </row>
    <row r="559" spans="2:16" x14ac:dyDescent="0.3">
      <c r="B559" s="20"/>
      <c r="C559" s="90" t="s">
        <v>178</v>
      </c>
      <c r="D559" s="62">
        <f>[7]Sheet3!$N$3/1000000</f>
        <v>0.91963251833333348</v>
      </c>
      <c r="E559" s="62">
        <f>D559</f>
        <v>0.91963251833333348</v>
      </c>
      <c r="F559" s="62">
        <f t="shared" ref="F559:O563" si="172">E559</f>
        <v>0.91963251833333348</v>
      </c>
      <c r="G559" s="62">
        <f t="shared" si="172"/>
        <v>0.91963251833333348</v>
      </c>
      <c r="H559" s="62">
        <f t="shared" si="172"/>
        <v>0.91963251833333348</v>
      </c>
      <c r="I559" s="62">
        <f t="shared" si="172"/>
        <v>0.91963251833333348</v>
      </c>
      <c r="J559" s="62">
        <f t="shared" si="172"/>
        <v>0.91963251833333348</v>
      </c>
      <c r="K559" s="62">
        <f t="shared" si="172"/>
        <v>0.91963251833333348</v>
      </c>
      <c r="L559" s="62">
        <f t="shared" si="172"/>
        <v>0.91963251833333348</v>
      </c>
      <c r="M559" s="62">
        <f t="shared" si="172"/>
        <v>0.91963251833333348</v>
      </c>
      <c r="N559" s="62">
        <f t="shared" si="172"/>
        <v>0.91963251833333348</v>
      </c>
      <c r="O559" s="62">
        <f t="shared" si="172"/>
        <v>0.91963251833333348</v>
      </c>
      <c r="P559" s="62">
        <f t="shared" si="168"/>
        <v>11.035590220000001</v>
      </c>
    </row>
    <row r="560" spans="2:16" x14ac:dyDescent="0.3">
      <c r="B560" s="20"/>
      <c r="C560" s="90" t="s">
        <v>179</v>
      </c>
      <c r="D560" s="62">
        <f>('[9]Budget Benefit per cost center'!$E$14+'[9]Budget Benefit per cost center'!$F$14+'[9]Budget Benefit per cost center'!$G$14)/1000000</f>
        <v>75.85120056800001</v>
      </c>
      <c r="E560" s="62">
        <f>D560</f>
        <v>75.85120056800001</v>
      </c>
      <c r="F560" s="62">
        <f t="shared" si="172"/>
        <v>75.85120056800001</v>
      </c>
      <c r="G560" s="62">
        <f t="shared" si="172"/>
        <v>75.85120056800001</v>
      </c>
      <c r="H560" s="62">
        <f t="shared" si="172"/>
        <v>75.85120056800001</v>
      </c>
      <c r="I560" s="62">
        <f t="shared" si="172"/>
        <v>75.85120056800001</v>
      </c>
      <c r="J560" s="62">
        <f t="shared" si="172"/>
        <v>75.85120056800001</v>
      </c>
      <c r="K560" s="62">
        <f t="shared" si="172"/>
        <v>75.85120056800001</v>
      </c>
      <c r="L560" s="62">
        <f t="shared" si="172"/>
        <v>75.85120056800001</v>
      </c>
      <c r="M560" s="62">
        <f t="shared" si="172"/>
        <v>75.85120056800001</v>
      </c>
      <c r="N560" s="62">
        <f t="shared" si="172"/>
        <v>75.85120056800001</v>
      </c>
      <c r="O560" s="62">
        <f t="shared" si="172"/>
        <v>75.85120056800001</v>
      </c>
      <c r="P560" s="62">
        <f t="shared" si="168"/>
        <v>910.21440681599995</v>
      </c>
    </row>
    <row r="561" spans="1:16" x14ac:dyDescent="0.3">
      <c r="B561" s="20"/>
      <c r="C561" s="90" t="s">
        <v>180</v>
      </c>
      <c r="D561" s="62">
        <f>([7]Sheet3!$I$3+[7]Sheet3!$M$3)/1000000</f>
        <v>1.0774456333333333</v>
      </c>
      <c r="E561" s="62">
        <f>D561</f>
        <v>1.0774456333333333</v>
      </c>
      <c r="F561" s="62">
        <f t="shared" si="172"/>
        <v>1.0774456333333333</v>
      </c>
      <c r="G561" s="62">
        <f t="shared" si="172"/>
        <v>1.0774456333333333</v>
      </c>
      <c r="H561" s="62">
        <f t="shared" si="172"/>
        <v>1.0774456333333333</v>
      </c>
      <c r="I561" s="62">
        <f t="shared" si="172"/>
        <v>1.0774456333333333</v>
      </c>
      <c r="J561" s="62">
        <f t="shared" si="172"/>
        <v>1.0774456333333333</v>
      </c>
      <c r="K561" s="62">
        <f t="shared" si="172"/>
        <v>1.0774456333333333</v>
      </c>
      <c r="L561" s="62">
        <f t="shared" si="172"/>
        <v>1.0774456333333333</v>
      </c>
      <c r="M561" s="62">
        <f t="shared" si="172"/>
        <v>1.0774456333333333</v>
      </c>
      <c r="N561" s="62">
        <f t="shared" si="172"/>
        <v>1.0774456333333333</v>
      </c>
      <c r="O561" s="62">
        <f t="shared" si="172"/>
        <v>1.0774456333333333</v>
      </c>
      <c r="P561" s="62">
        <f t="shared" si="168"/>
        <v>12.9293476</v>
      </c>
    </row>
    <row r="562" spans="1:16" x14ac:dyDescent="0.3">
      <c r="B562" s="20"/>
      <c r="C562" s="90" t="s">
        <v>181</v>
      </c>
      <c r="D562" s="62">
        <f>[7]Sheet3!$L$3/1000000</f>
        <v>1.3242708264</v>
      </c>
      <c r="E562" s="62">
        <f>D562</f>
        <v>1.3242708264</v>
      </c>
      <c r="F562" s="62">
        <f t="shared" si="172"/>
        <v>1.3242708264</v>
      </c>
      <c r="G562" s="62">
        <f t="shared" si="172"/>
        <v>1.3242708264</v>
      </c>
      <c r="H562" s="62">
        <f t="shared" si="172"/>
        <v>1.3242708264</v>
      </c>
      <c r="I562" s="62">
        <f t="shared" si="172"/>
        <v>1.3242708264</v>
      </c>
      <c r="J562" s="62">
        <f t="shared" si="172"/>
        <v>1.3242708264</v>
      </c>
      <c r="K562" s="62">
        <f t="shared" si="172"/>
        <v>1.3242708264</v>
      </c>
      <c r="L562" s="62">
        <f t="shared" si="172"/>
        <v>1.3242708264</v>
      </c>
      <c r="M562" s="62">
        <f t="shared" si="172"/>
        <v>1.3242708264</v>
      </c>
      <c r="N562" s="62">
        <f t="shared" si="172"/>
        <v>1.3242708264</v>
      </c>
      <c r="O562" s="62">
        <f t="shared" si="172"/>
        <v>1.3242708264</v>
      </c>
      <c r="P562" s="62">
        <f t="shared" si="168"/>
        <v>15.891249916799998</v>
      </c>
    </row>
    <row r="563" spans="1:16" x14ac:dyDescent="0.3">
      <c r="B563" s="20"/>
      <c r="C563" s="90" t="s">
        <v>182</v>
      </c>
      <c r="D563" s="62">
        <f>('[9]Budget Benefit per cost center'!$C$14+('[9]Budget Benefit per cost center'!$D$14/12))/1000000+(([7]Sheet3!$J$3+[7]Sheet3!$K$3)/1000000)</f>
        <v>21.837262499999998</v>
      </c>
      <c r="E563" s="62">
        <f>D563</f>
        <v>21.837262499999998</v>
      </c>
      <c r="F563" s="62">
        <f t="shared" si="172"/>
        <v>21.837262499999998</v>
      </c>
      <c r="G563" s="62">
        <f t="shared" si="172"/>
        <v>21.837262499999998</v>
      </c>
      <c r="H563" s="62">
        <f t="shared" si="172"/>
        <v>21.837262499999998</v>
      </c>
      <c r="I563" s="62">
        <f t="shared" si="172"/>
        <v>21.837262499999998</v>
      </c>
      <c r="J563" s="62">
        <f t="shared" si="172"/>
        <v>21.837262499999998</v>
      </c>
      <c r="K563" s="62">
        <f t="shared" si="172"/>
        <v>21.837262499999998</v>
      </c>
      <c r="L563" s="62">
        <f t="shared" si="172"/>
        <v>21.837262499999998</v>
      </c>
      <c r="M563" s="62">
        <f t="shared" si="172"/>
        <v>21.837262499999998</v>
      </c>
      <c r="N563" s="62">
        <f t="shared" si="172"/>
        <v>21.837262499999998</v>
      </c>
      <c r="O563" s="62">
        <f t="shared" si="172"/>
        <v>21.837262499999998</v>
      </c>
      <c r="P563" s="62">
        <f t="shared" si="168"/>
        <v>262.04715000000004</v>
      </c>
    </row>
    <row r="564" spans="1:16" ht="13.5" thickBot="1" x14ac:dyDescent="0.35">
      <c r="A564" s="20"/>
      <c r="B564" s="20"/>
      <c r="C564" s="99" t="s">
        <v>183</v>
      </c>
      <c r="D564" s="100">
        <f t="shared" ref="D564:O564" si="173">SUM(D559:D563)</f>
        <v>101.00981204606666</v>
      </c>
      <c r="E564" s="100">
        <f t="shared" si="173"/>
        <v>101.00981204606666</v>
      </c>
      <c r="F564" s="100">
        <f t="shared" si="173"/>
        <v>101.00981204606666</v>
      </c>
      <c r="G564" s="100">
        <f t="shared" si="173"/>
        <v>101.00981204606666</v>
      </c>
      <c r="H564" s="100">
        <f t="shared" si="173"/>
        <v>101.00981204606666</v>
      </c>
      <c r="I564" s="100">
        <f t="shared" si="173"/>
        <v>101.00981204606666</v>
      </c>
      <c r="J564" s="100">
        <f t="shared" si="173"/>
        <v>101.00981204606666</v>
      </c>
      <c r="K564" s="100">
        <f t="shared" si="173"/>
        <v>101.00981204606666</v>
      </c>
      <c r="L564" s="100">
        <f t="shared" si="173"/>
        <v>101.00981204606666</v>
      </c>
      <c r="M564" s="100">
        <f t="shared" si="173"/>
        <v>101.00981204606666</v>
      </c>
      <c r="N564" s="100">
        <f t="shared" si="173"/>
        <v>101.00981204606666</v>
      </c>
      <c r="O564" s="100">
        <f t="shared" si="173"/>
        <v>101.00981204606666</v>
      </c>
      <c r="P564" s="100">
        <f t="shared" si="168"/>
        <v>1212.1177445527996</v>
      </c>
    </row>
    <row r="565" spans="1:16" ht="13.5" thickBot="1" x14ac:dyDescent="0.35">
      <c r="A565" s="20"/>
      <c r="B565" s="20"/>
      <c r="C565" s="92" t="s">
        <v>184</v>
      </c>
      <c r="D565" s="93">
        <f t="shared" ref="D565:P565" si="174">D530+D550+D558+D564</f>
        <v>999.21162483413696</v>
      </c>
      <c r="E565" s="93">
        <f t="shared" si="174"/>
        <v>994.35113400080354</v>
      </c>
      <c r="F565" s="93">
        <f t="shared" si="174"/>
        <v>1040.9849901060668</v>
      </c>
      <c r="G565" s="93">
        <f t="shared" si="174"/>
        <v>946.0788025008037</v>
      </c>
      <c r="H565" s="93">
        <f t="shared" si="174"/>
        <v>997.92831200080354</v>
      </c>
      <c r="I565" s="93">
        <f t="shared" si="174"/>
        <v>1053.744813679639</v>
      </c>
      <c r="J565" s="93">
        <f t="shared" si="174"/>
        <v>1372.6234197094616</v>
      </c>
      <c r="K565" s="93">
        <f t="shared" si="174"/>
        <v>1281.5395888897026</v>
      </c>
      <c r="L565" s="93">
        <f t="shared" si="174"/>
        <v>1391.5734922554298</v>
      </c>
      <c r="M565" s="93">
        <f t="shared" si="174"/>
        <v>1408.5945252026963</v>
      </c>
      <c r="N565" s="93">
        <f t="shared" si="174"/>
        <v>1434.5492543622747</v>
      </c>
      <c r="O565" s="93">
        <f t="shared" si="174"/>
        <v>1373.269237373363</v>
      </c>
      <c r="P565" s="93">
        <f t="shared" si="174"/>
        <v>14294.449194915183</v>
      </c>
    </row>
    <row r="566" spans="1:16" ht="13.5" thickBot="1" x14ac:dyDescent="0.35">
      <c r="C566" s="118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</row>
    <row r="567" spans="1:16" ht="13.5" thickBot="1" x14ac:dyDescent="0.35">
      <c r="C567" s="119"/>
      <c r="D567" s="120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</row>
    <row r="568" spans="1:16" ht="14" thickTop="1" thickBot="1" x14ac:dyDescent="0.35">
      <c r="C568" s="127" t="s">
        <v>248</v>
      </c>
      <c r="D568" s="122">
        <f>D565+D567</f>
        <v>999.21162483413696</v>
      </c>
      <c r="E568" s="122">
        <f t="shared" ref="E568:P568" si="175">E565+E567</f>
        <v>994.35113400080354</v>
      </c>
      <c r="F568" s="122">
        <f t="shared" si="175"/>
        <v>1040.9849901060668</v>
      </c>
      <c r="G568" s="122">
        <f t="shared" si="175"/>
        <v>946.0788025008037</v>
      </c>
      <c r="H568" s="122">
        <f t="shared" si="175"/>
        <v>997.92831200080354</v>
      </c>
      <c r="I568" s="122">
        <f t="shared" si="175"/>
        <v>1053.744813679639</v>
      </c>
      <c r="J568" s="122">
        <f t="shared" si="175"/>
        <v>1372.6234197094616</v>
      </c>
      <c r="K568" s="122">
        <f t="shared" si="175"/>
        <v>1281.5395888897026</v>
      </c>
      <c r="L568" s="122">
        <f t="shared" si="175"/>
        <v>1391.5734922554298</v>
      </c>
      <c r="M568" s="122">
        <f t="shared" si="175"/>
        <v>1408.5945252026963</v>
      </c>
      <c r="N568" s="122">
        <f t="shared" si="175"/>
        <v>1434.5492543622747</v>
      </c>
      <c r="O568" s="122">
        <f t="shared" si="175"/>
        <v>1373.269237373363</v>
      </c>
      <c r="P568" s="122">
        <f t="shared" si="175"/>
        <v>14294.449194915183</v>
      </c>
    </row>
    <row r="569" spans="1:16" ht="14" thickTop="1" thickBot="1" x14ac:dyDescent="0.35">
      <c r="C569" s="128" t="s">
        <v>256</v>
      </c>
      <c r="D569" s="122">
        <f t="shared" ref="D569:P569" si="176">D568+D563</f>
        <v>1021.0488873341369</v>
      </c>
      <c r="E569" s="122">
        <f t="shared" si="176"/>
        <v>1016.1883965008035</v>
      </c>
      <c r="F569" s="122">
        <f t="shared" si="176"/>
        <v>1062.8222526060667</v>
      </c>
      <c r="G569" s="122">
        <f t="shared" si="176"/>
        <v>967.91606500080366</v>
      </c>
      <c r="H569" s="122">
        <f t="shared" si="176"/>
        <v>1019.7655745008035</v>
      </c>
      <c r="I569" s="122">
        <f t="shared" si="176"/>
        <v>1075.582076179639</v>
      </c>
      <c r="J569" s="122">
        <f t="shared" si="176"/>
        <v>1394.4606822094615</v>
      </c>
      <c r="K569" s="122">
        <f t="shared" si="176"/>
        <v>1303.3768513897026</v>
      </c>
      <c r="L569" s="122">
        <f t="shared" si="176"/>
        <v>1413.4107547554297</v>
      </c>
      <c r="M569" s="122">
        <f t="shared" si="176"/>
        <v>1430.4317877026963</v>
      </c>
      <c r="N569" s="122">
        <f t="shared" si="176"/>
        <v>1456.3865168622747</v>
      </c>
      <c r="O569" s="122">
        <f t="shared" si="176"/>
        <v>1395.106499873363</v>
      </c>
      <c r="P569" s="122">
        <f t="shared" si="176"/>
        <v>14556.496344915184</v>
      </c>
    </row>
    <row r="570" spans="1:16" ht="13.5" thickTop="1" x14ac:dyDescent="0.3">
      <c r="C570" s="63"/>
      <c r="D570" s="126"/>
      <c r="E570" s="126"/>
      <c r="F570" s="126"/>
      <c r="G570" s="126"/>
      <c r="H570" s="126"/>
      <c r="I570" s="126"/>
      <c r="J570" s="126"/>
      <c r="K570" s="126"/>
      <c r="L570" s="126"/>
      <c r="M570" s="126"/>
      <c r="N570" s="126"/>
      <c r="O570" s="126"/>
      <c r="P570" s="126"/>
    </row>
    <row r="571" spans="1:16" x14ac:dyDescent="0.3">
      <c r="C571" s="63"/>
      <c r="D571" s="126"/>
      <c r="E571" s="126"/>
      <c r="F571" s="126"/>
      <c r="G571" s="126"/>
      <c r="H571" s="126"/>
      <c r="I571" s="126"/>
      <c r="J571" s="126"/>
      <c r="K571" s="126"/>
      <c r="L571" s="126"/>
      <c r="M571" s="126"/>
      <c r="N571" s="126"/>
      <c r="O571" s="126"/>
      <c r="P571" s="126"/>
    </row>
    <row r="572" spans="1:16" ht="13.5" thickBot="1" x14ac:dyDescent="0.35">
      <c r="C572" s="66" t="s">
        <v>257</v>
      </c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</row>
    <row r="573" spans="1:16" ht="13.5" customHeight="1" thickBot="1" x14ac:dyDescent="0.35">
      <c r="C573" s="23" t="s">
        <v>69</v>
      </c>
      <c r="D573" s="24" t="s">
        <v>70</v>
      </c>
      <c r="E573" s="24" t="s">
        <v>71</v>
      </c>
      <c r="F573" s="24" t="s">
        <v>72</v>
      </c>
      <c r="G573" s="24" t="s">
        <v>73</v>
      </c>
      <c r="H573" s="24" t="s">
        <v>74</v>
      </c>
      <c r="I573" s="24" t="s">
        <v>75</v>
      </c>
      <c r="J573" s="24" t="s">
        <v>76</v>
      </c>
      <c r="K573" s="24" t="s">
        <v>77</v>
      </c>
      <c r="L573" s="24" t="s">
        <v>78</v>
      </c>
      <c r="M573" s="24" t="s">
        <v>79</v>
      </c>
      <c r="N573" s="24" t="s">
        <v>80</v>
      </c>
      <c r="O573" s="24" t="s">
        <v>81</v>
      </c>
      <c r="P573" s="25" t="s">
        <v>110</v>
      </c>
    </row>
    <row r="574" spans="1:16" ht="13.5" thickBot="1" x14ac:dyDescent="0.35">
      <c r="C574" s="116" t="s">
        <v>247</v>
      </c>
      <c r="D574" s="117"/>
      <c r="E574" s="117"/>
      <c r="F574" s="117"/>
      <c r="G574" s="117"/>
      <c r="H574" s="117"/>
      <c r="I574" s="117"/>
      <c r="J574" s="117"/>
      <c r="K574" s="117"/>
      <c r="L574" s="117"/>
      <c r="M574" s="117"/>
      <c r="N574" s="117"/>
      <c r="O574" s="117"/>
      <c r="P574" s="117"/>
    </row>
    <row r="575" spans="1:16" x14ac:dyDescent="0.3">
      <c r="C575" s="86"/>
      <c r="D575" s="87"/>
      <c r="E575" s="88"/>
      <c r="F575" s="89"/>
      <c r="G575" s="89"/>
      <c r="H575" s="89"/>
      <c r="I575" s="89"/>
      <c r="J575" s="89"/>
      <c r="K575" s="89"/>
      <c r="L575" s="87"/>
      <c r="M575" s="89"/>
      <c r="N575" s="89"/>
      <c r="O575" s="89"/>
      <c r="P575" s="89"/>
    </row>
    <row r="576" spans="1:16" x14ac:dyDescent="0.3">
      <c r="C576" s="90" t="s">
        <v>147</v>
      </c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>
        <f t="shared" ref="P576:P578" si="177">D576+E576+F576+G576+H576+I576+J576+K576+L576+M576+N576+O576</f>
        <v>0</v>
      </c>
    </row>
    <row r="577" spans="1:16" x14ac:dyDescent="0.3">
      <c r="C577" s="33" t="s">
        <v>148</v>
      </c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>
        <f t="shared" si="177"/>
        <v>0</v>
      </c>
    </row>
    <row r="578" spans="1:16" x14ac:dyDescent="0.3">
      <c r="C578" s="90" t="s">
        <v>149</v>
      </c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>
        <f t="shared" si="177"/>
        <v>0</v>
      </c>
    </row>
    <row r="579" spans="1:16" ht="13.5" thickBot="1" x14ac:dyDescent="0.35">
      <c r="C579" s="90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</row>
    <row r="580" spans="1:16" ht="13.5" thickBot="1" x14ac:dyDescent="0.35">
      <c r="A580" s="20"/>
      <c r="B580" s="20"/>
      <c r="C580" s="92" t="s">
        <v>150</v>
      </c>
      <c r="D580" s="93">
        <f t="shared" ref="D580:P580" si="178">SUM(D576:D579)</f>
        <v>0</v>
      </c>
      <c r="E580" s="93">
        <f t="shared" si="178"/>
        <v>0</v>
      </c>
      <c r="F580" s="93">
        <f t="shared" si="178"/>
        <v>0</v>
      </c>
      <c r="G580" s="93">
        <f t="shared" si="178"/>
        <v>0</v>
      </c>
      <c r="H580" s="93">
        <f t="shared" si="178"/>
        <v>0</v>
      </c>
      <c r="I580" s="93">
        <f t="shared" si="178"/>
        <v>0</v>
      </c>
      <c r="J580" s="93">
        <f t="shared" si="178"/>
        <v>0</v>
      </c>
      <c r="K580" s="93">
        <f t="shared" si="178"/>
        <v>0</v>
      </c>
      <c r="L580" s="93">
        <f t="shared" si="178"/>
        <v>0</v>
      </c>
      <c r="M580" s="93">
        <f t="shared" si="178"/>
        <v>0</v>
      </c>
      <c r="N580" s="93">
        <f t="shared" si="178"/>
        <v>0</v>
      </c>
      <c r="O580" s="93">
        <f t="shared" si="178"/>
        <v>0</v>
      </c>
      <c r="P580" s="93">
        <f t="shared" si="178"/>
        <v>0</v>
      </c>
    </row>
    <row r="581" spans="1:16" x14ac:dyDescent="0.3">
      <c r="C581" s="94"/>
      <c r="D581" s="107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43"/>
    </row>
    <row r="582" spans="1:16" x14ac:dyDescent="0.3">
      <c r="C582" s="90" t="s">
        <v>151</v>
      </c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62">
        <f t="shared" ref="P582:P599" si="179">D582+E582+F582+G582+H582+I582+J582+K582+L582+M582+N582+O582</f>
        <v>0</v>
      </c>
    </row>
    <row r="583" spans="1:16" x14ac:dyDescent="0.3">
      <c r="C583" s="90" t="s">
        <v>152</v>
      </c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62">
        <f t="shared" si="179"/>
        <v>0</v>
      </c>
    </row>
    <row r="584" spans="1:16" x14ac:dyDescent="0.3">
      <c r="C584" s="90" t="s">
        <v>153</v>
      </c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62">
        <f t="shared" si="179"/>
        <v>0</v>
      </c>
    </row>
    <row r="585" spans="1:16" x14ac:dyDescent="0.3">
      <c r="C585" s="90" t="s">
        <v>154</v>
      </c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62">
        <f t="shared" si="179"/>
        <v>0</v>
      </c>
    </row>
    <row r="586" spans="1:16" x14ac:dyDescent="0.3">
      <c r="C586" s="90" t="s">
        <v>155</v>
      </c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62">
        <f t="shared" si="179"/>
        <v>0</v>
      </c>
    </row>
    <row r="587" spans="1:16" x14ac:dyDescent="0.3">
      <c r="C587" s="90" t="s">
        <v>156</v>
      </c>
      <c r="D587" s="103">
        <f>[15]Sheet1!D580/1000000</f>
        <v>0</v>
      </c>
      <c r="E587" s="103">
        <f>[15]Sheet1!E580/1000000</f>
        <v>0</v>
      </c>
      <c r="F587" s="103">
        <f>[15]Sheet1!F580/1000000</f>
        <v>0</v>
      </c>
      <c r="G587" s="103">
        <f>[15]Sheet1!G580/1000000</f>
        <v>0</v>
      </c>
      <c r="H587" s="103">
        <f>[15]Sheet1!H580/1000000</f>
        <v>0</v>
      </c>
      <c r="I587" s="103">
        <f>[15]Sheet1!I580/1000000</f>
        <v>0</v>
      </c>
      <c r="J587" s="103">
        <f>[15]Sheet1!J580/1000000</f>
        <v>0</v>
      </c>
      <c r="K587" s="103">
        <f>[15]Sheet1!K580/1000000</f>
        <v>0</v>
      </c>
      <c r="L587" s="103">
        <f>[15]Sheet1!L580/1000000</f>
        <v>0</v>
      </c>
      <c r="M587" s="103">
        <f>[15]Sheet1!M580/1000000</f>
        <v>0</v>
      </c>
      <c r="N587" s="103">
        <f>[15]Sheet1!N580/1000000</f>
        <v>0</v>
      </c>
      <c r="O587" s="103">
        <f>[15]Sheet1!O580/1000000</f>
        <v>0</v>
      </c>
      <c r="P587" s="62">
        <f t="shared" si="179"/>
        <v>0</v>
      </c>
    </row>
    <row r="588" spans="1:16" x14ac:dyDescent="0.3">
      <c r="C588" s="90" t="s">
        <v>157</v>
      </c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62">
        <f t="shared" si="179"/>
        <v>0</v>
      </c>
    </row>
    <row r="589" spans="1:16" x14ac:dyDescent="0.3">
      <c r="B589" s="20"/>
      <c r="C589" s="90" t="s">
        <v>158</v>
      </c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62">
        <f t="shared" si="179"/>
        <v>0</v>
      </c>
    </row>
    <row r="590" spans="1:16" x14ac:dyDescent="0.3">
      <c r="C590" s="90" t="s">
        <v>159</v>
      </c>
      <c r="D590" s="103">
        <f>[15]Sheet1!D584/1000000</f>
        <v>0</v>
      </c>
      <c r="E590" s="103">
        <f>[15]Sheet1!E584/1000000</f>
        <v>0</v>
      </c>
      <c r="F590" s="103">
        <f>[15]Sheet1!F584/1000000</f>
        <v>0</v>
      </c>
      <c r="G590" s="103">
        <f>[15]Sheet1!G584/1000000</f>
        <v>0</v>
      </c>
      <c r="H590" s="103">
        <f>[15]Sheet1!H584/1000000</f>
        <v>0</v>
      </c>
      <c r="I590" s="103">
        <f>[15]Sheet1!I584/1000000</f>
        <v>0</v>
      </c>
      <c r="J590" s="103">
        <f>[15]Sheet1!J584/1000000</f>
        <v>0</v>
      </c>
      <c r="K590" s="103">
        <f>[15]Sheet1!K584/1000000</f>
        <v>0</v>
      </c>
      <c r="L590" s="103">
        <f>[15]Sheet1!L584/1000000</f>
        <v>0</v>
      </c>
      <c r="M590" s="103">
        <f>[15]Sheet1!M584/1000000</f>
        <v>0</v>
      </c>
      <c r="N590" s="103">
        <f>[15]Sheet1!N584/1000000</f>
        <v>0</v>
      </c>
      <c r="O590" s="103">
        <f>[15]Sheet1!O584/1000000</f>
        <v>0</v>
      </c>
      <c r="P590" s="62">
        <f t="shared" si="179"/>
        <v>0</v>
      </c>
    </row>
    <row r="591" spans="1:16" x14ac:dyDescent="0.3">
      <c r="C591" s="90" t="s">
        <v>160</v>
      </c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62">
        <f t="shared" si="179"/>
        <v>0</v>
      </c>
    </row>
    <row r="592" spans="1:16" x14ac:dyDescent="0.3">
      <c r="C592" s="90" t="s">
        <v>161</v>
      </c>
      <c r="D592" s="103">
        <f>'[13]Budget Depre'!E31/1000000</f>
        <v>0</v>
      </c>
      <c r="E592" s="103">
        <f>'[13]Budget Depre'!F31/1000000</f>
        <v>0</v>
      </c>
      <c r="F592" s="103">
        <f>'[13]Budget Depre'!G31/1000000</f>
        <v>0</v>
      </c>
      <c r="G592" s="103">
        <f>'[13]Budget Depre'!H31/1000000</f>
        <v>0</v>
      </c>
      <c r="H592" s="103">
        <f>'[13]Budget Depre'!I31/1000000</f>
        <v>0</v>
      </c>
      <c r="I592" s="103">
        <f>'[13]Budget Depre'!J31/1000000</f>
        <v>0</v>
      </c>
      <c r="J592" s="103">
        <f>'[13]Budget Depre'!K31/1000000</f>
        <v>0</v>
      </c>
      <c r="K592" s="103">
        <f>'[13]Budget Depre'!L31/1000000</f>
        <v>0</v>
      </c>
      <c r="L592" s="103">
        <f>'[13]Budget Depre'!M31/1000000</f>
        <v>0</v>
      </c>
      <c r="M592" s="103">
        <f>'[13]Budget Depre'!N31/1000000</f>
        <v>0</v>
      </c>
      <c r="N592" s="103">
        <f>'[13]Budget Depre'!O31/1000000</f>
        <v>0</v>
      </c>
      <c r="O592" s="103">
        <f>'[13]Budget Depre'!P31/1000000</f>
        <v>0</v>
      </c>
      <c r="P592" s="62">
        <f t="shared" si="179"/>
        <v>0</v>
      </c>
    </row>
    <row r="593" spans="2:16" x14ac:dyDescent="0.3">
      <c r="C593" s="90" t="s">
        <v>162</v>
      </c>
      <c r="D593" s="103">
        <f>'[13]Budget Depre'!E32/1000000</f>
        <v>0</v>
      </c>
      <c r="E593" s="103">
        <f>'[13]Budget Depre'!F32/1000000</f>
        <v>0</v>
      </c>
      <c r="F593" s="103">
        <f>'[13]Budget Depre'!G32/1000000</f>
        <v>0</v>
      </c>
      <c r="G593" s="103">
        <f>'[13]Budget Depre'!H32/1000000</f>
        <v>0</v>
      </c>
      <c r="H593" s="103">
        <f>'[13]Budget Depre'!I32/1000000</f>
        <v>0</v>
      </c>
      <c r="I593" s="103">
        <f>'[13]Budget Depre'!J32/1000000</f>
        <v>0</v>
      </c>
      <c r="J593" s="103">
        <f>'[13]Budget Depre'!K32/1000000</f>
        <v>0</v>
      </c>
      <c r="K593" s="103">
        <f>'[13]Budget Depre'!L32/1000000</f>
        <v>0</v>
      </c>
      <c r="L593" s="103">
        <f>'[13]Budget Depre'!M32/1000000</f>
        <v>0</v>
      </c>
      <c r="M593" s="103">
        <f>'[13]Budget Depre'!N32/1000000</f>
        <v>0</v>
      </c>
      <c r="N593" s="103">
        <f>'[13]Budget Depre'!O32/1000000</f>
        <v>0</v>
      </c>
      <c r="O593" s="103">
        <f>'[13]Budget Depre'!P32/1000000</f>
        <v>0</v>
      </c>
      <c r="P593" s="62">
        <f t="shared" si="179"/>
        <v>0</v>
      </c>
    </row>
    <row r="594" spans="2:16" x14ac:dyDescent="0.3">
      <c r="C594" s="90" t="s">
        <v>163</v>
      </c>
      <c r="D594" s="103">
        <f>'[13]Budget Depre'!E33/1000000</f>
        <v>0.5</v>
      </c>
      <c r="E594" s="103">
        <f>'[13]Budget Depre'!F33/1000000</f>
        <v>0.5</v>
      </c>
      <c r="F594" s="103">
        <f>'[13]Budget Depre'!G33/1000000</f>
        <v>3.8333333333333335</v>
      </c>
      <c r="G594" s="103">
        <f>'[13]Budget Depre'!H33/1000000</f>
        <v>3.8333333333333335</v>
      </c>
      <c r="H594" s="103">
        <f>'[13]Budget Depre'!I33/1000000</f>
        <v>3.8333333333333335</v>
      </c>
      <c r="I594" s="103">
        <f>'[13]Budget Depre'!J33/1000000</f>
        <v>3.8333333333333335</v>
      </c>
      <c r="J594" s="103">
        <f>'[13]Budget Depre'!K33/1000000</f>
        <v>3.8333333333333335</v>
      </c>
      <c r="K594" s="103">
        <f>'[13]Budget Depre'!L33/1000000</f>
        <v>3.8333333333333335</v>
      </c>
      <c r="L594" s="103">
        <f>'[13]Budget Depre'!M33/1000000</f>
        <v>3.8333333333333335</v>
      </c>
      <c r="M594" s="103">
        <f>'[13]Budget Depre'!N33/1000000</f>
        <v>3.8333333333333335</v>
      </c>
      <c r="N594" s="103">
        <f>'[13]Budget Depre'!O33/1000000</f>
        <v>3.8333333333333335</v>
      </c>
      <c r="O594" s="103">
        <f>'[13]Budget Depre'!P33/1000000</f>
        <v>3.8333333333333335</v>
      </c>
      <c r="P594" s="62">
        <f t="shared" si="179"/>
        <v>39.333333333333336</v>
      </c>
    </row>
    <row r="595" spans="2:16" x14ac:dyDescent="0.3">
      <c r="C595" s="90" t="s">
        <v>164</v>
      </c>
      <c r="D595" s="103">
        <f>[15]Sheet1!D589/1000000</f>
        <v>0</v>
      </c>
      <c r="E595" s="103">
        <f>[15]Sheet1!E589/1000000</f>
        <v>0</v>
      </c>
      <c r="F595" s="103">
        <f>[15]Sheet1!F589/1000000</f>
        <v>0</v>
      </c>
      <c r="G595" s="103">
        <f>[15]Sheet1!G589/1000000</f>
        <v>0</v>
      </c>
      <c r="H595" s="103">
        <f>[15]Sheet1!H589/1000000</f>
        <v>0</v>
      </c>
      <c r="I595" s="103">
        <f>[15]Sheet1!I589/1000000</f>
        <v>0</v>
      </c>
      <c r="J595" s="103">
        <f>[15]Sheet1!J589/1000000</f>
        <v>0</v>
      </c>
      <c r="K595" s="103">
        <f>[15]Sheet1!K589/1000000</f>
        <v>0</v>
      </c>
      <c r="L595" s="103">
        <f>[15]Sheet1!L589/1000000</f>
        <v>0</v>
      </c>
      <c r="M595" s="103">
        <f>[15]Sheet1!M589/1000000</f>
        <v>0</v>
      </c>
      <c r="N595" s="103">
        <f>[15]Sheet1!N589/1000000</f>
        <v>0</v>
      </c>
      <c r="O595" s="103">
        <f>[15]Sheet1!O589/1000000</f>
        <v>0</v>
      </c>
      <c r="P595" s="62">
        <f t="shared" si="179"/>
        <v>0</v>
      </c>
    </row>
    <row r="596" spans="2:16" x14ac:dyDescent="0.3">
      <c r="C596" s="90" t="s">
        <v>165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62">
        <f t="shared" si="179"/>
        <v>0</v>
      </c>
    </row>
    <row r="597" spans="2:16" x14ac:dyDescent="0.3">
      <c r="C597" s="90" t="s">
        <v>166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62">
        <f t="shared" si="179"/>
        <v>0</v>
      </c>
    </row>
    <row r="598" spans="2:16" x14ac:dyDescent="0.3">
      <c r="C598" s="90" t="s">
        <v>167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62">
        <f t="shared" si="179"/>
        <v>0</v>
      </c>
    </row>
    <row r="599" spans="2:16" ht="13.5" thickBot="1" x14ac:dyDescent="0.35">
      <c r="C599" s="90" t="s">
        <v>168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62">
        <f t="shared" si="179"/>
        <v>0</v>
      </c>
    </row>
    <row r="600" spans="2:16" ht="13.5" thickBot="1" x14ac:dyDescent="0.35">
      <c r="B600" s="20"/>
      <c r="C600" s="95" t="s">
        <v>169</v>
      </c>
      <c r="D600" s="93">
        <f t="shared" ref="D600:P600" si="180">SUM(D582:D599)</f>
        <v>0.5</v>
      </c>
      <c r="E600" s="93">
        <f t="shared" si="180"/>
        <v>0.5</v>
      </c>
      <c r="F600" s="93">
        <f t="shared" si="180"/>
        <v>3.8333333333333335</v>
      </c>
      <c r="G600" s="93">
        <f t="shared" si="180"/>
        <v>3.8333333333333335</v>
      </c>
      <c r="H600" s="93">
        <f t="shared" si="180"/>
        <v>3.8333333333333335</v>
      </c>
      <c r="I600" s="93">
        <f t="shared" si="180"/>
        <v>3.8333333333333335</v>
      </c>
      <c r="J600" s="93">
        <f t="shared" si="180"/>
        <v>3.8333333333333335</v>
      </c>
      <c r="K600" s="93">
        <f t="shared" si="180"/>
        <v>3.8333333333333335</v>
      </c>
      <c r="L600" s="93">
        <f t="shared" si="180"/>
        <v>3.8333333333333335</v>
      </c>
      <c r="M600" s="93">
        <f t="shared" si="180"/>
        <v>3.8333333333333335</v>
      </c>
      <c r="N600" s="93">
        <f t="shared" si="180"/>
        <v>3.8333333333333335</v>
      </c>
      <c r="O600" s="93">
        <f t="shared" si="180"/>
        <v>3.8333333333333335</v>
      </c>
      <c r="P600" s="93">
        <f t="shared" si="180"/>
        <v>39.333333333333336</v>
      </c>
    </row>
    <row r="601" spans="2:16" x14ac:dyDescent="0.3">
      <c r="C601" s="90" t="s">
        <v>170</v>
      </c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>
        <f t="shared" ref="P601:P614" si="181">D601+E601+F601+G601+H601+I601+J601+K601+L601+M601+N601+O601</f>
        <v>0</v>
      </c>
    </row>
    <row r="602" spans="2:16" x14ac:dyDescent="0.3">
      <c r="C602" s="90" t="s">
        <v>171</v>
      </c>
      <c r="D602" s="62">
        <f>'[16]LEMBUR MO'!N11/1000000</f>
        <v>0</v>
      </c>
      <c r="E602" s="62">
        <f>'[16]LEMBUR MO'!O11/1000000</f>
        <v>1.2846159840627704</v>
      </c>
      <c r="F602" s="62">
        <f>'[16]LEMBUR MO'!P11/1000000</f>
        <v>0.66405082523854841</v>
      </c>
      <c r="G602" s="62">
        <f>'[16]LEMBUR MO'!Q11/1000000</f>
        <v>4.7086958657746001</v>
      </c>
      <c r="H602" s="62">
        <f>'[16]LEMBUR MO'!R11/1000000</f>
        <v>0.39267216872832367</v>
      </c>
      <c r="I602" s="62">
        <f>'[16]LEMBUR MO'!S11/1000000</f>
        <v>2.6809043566669435</v>
      </c>
      <c r="J602" s="62">
        <f>'[16]LEMBUR MO'!T11/1000000</f>
        <v>13.873621197707195</v>
      </c>
      <c r="K602" s="62">
        <f>'[16]LEMBUR MO'!U11/1000000</f>
        <v>2.3755418262560406</v>
      </c>
      <c r="L602" s="62">
        <f>'[16]LEMBUR MO'!V11/1000000</f>
        <v>11.599591886467323</v>
      </c>
      <c r="M602" s="62">
        <f>'[16]LEMBUR MO'!W11/1000000</f>
        <v>19.891480979798402</v>
      </c>
      <c r="N602" s="62">
        <f>'[16]LEMBUR MO'!X11/1000000</f>
        <v>6.4574933884397625</v>
      </c>
      <c r="O602" s="62">
        <f>'[16]LEMBUR MO'!Y11/1000000</f>
        <v>8.1070011385651544</v>
      </c>
      <c r="P602" s="62">
        <f t="shared" si="181"/>
        <v>72.035669617705068</v>
      </c>
    </row>
    <row r="603" spans="2:16" x14ac:dyDescent="0.3">
      <c r="C603" s="90" t="s">
        <v>172</v>
      </c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>
        <f t="shared" si="181"/>
        <v>0</v>
      </c>
    </row>
    <row r="604" spans="2:16" x14ac:dyDescent="0.3">
      <c r="C604" s="90" t="s">
        <v>173</v>
      </c>
      <c r="D604" s="62">
        <f>'[8]Budget Upah per cost center'!$C$17/1000000+([7]Sheet3!$G$8/1000000)</f>
        <v>291.26305209999998</v>
      </c>
      <c r="E604" s="62">
        <f>D604</f>
        <v>291.26305209999998</v>
      </c>
      <c r="F604" s="62">
        <f t="shared" ref="F604:O604" si="182">E604</f>
        <v>291.26305209999998</v>
      </c>
      <c r="G604" s="62">
        <f t="shared" si="182"/>
        <v>291.26305209999998</v>
      </c>
      <c r="H604" s="62">
        <f t="shared" si="182"/>
        <v>291.26305209999998</v>
      </c>
      <c r="I604" s="62">
        <f t="shared" si="182"/>
        <v>291.26305209999998</v>
      </c>
      <c r="J604" s="62">
        <f t="shared" si="182"/>
        <v>291.26305209999998</v>
      </c>
      <c r="K604" s="62">
        <f t="shared" si="182"/>
        <v>291.26305209999998</v>
      </c>
      <c r="L604" s="62">
        <f t="shared" si="182"/>
        <v>291.26305209999998</v>
      </c>
      <c r="M604" s="62">
        <f t="shared" si="182"/>
        <v>291.26305209999998</v>
      </c>
      <c r="N604" s="62">
        <f t="shared" si="182"/>
        <v>291.26305209999998</v>
      </c>
      <c r="O604" s="62">
        <f t="shared" si="182"/>
        <v>291.26305209999998</v>
      </c>
      <c r="P604" s="62">
        <f t="shared" si="181"/>
        <v>3495.1566252000007</v>
      </c>
    </row>
    <row r="605" spans="2:16" x14ac:dyDescent="0.3">
      <c r="C605" s="90" t="s">
        <v>174</v>
      </c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>
        <f t="shared" si="181"/>
        <v>0</v>
      </c>
    </row>
    <row r="606" spans="2:16" x14ac:dyDescent="0.3">
      <c r="C606" s="90" t="s">
        <v>175</v>
      </c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>
        <f t="shared" si="181"/>
        <v>0</v>
      </c>
    </row>
    <row r="607" spans="2:16" ht="13.5" thickBot="1" x14ac:dyDescent="0.35">
      <c r="C607" s="90" t="s">
        <v>176</v>
      </c>
      <c r="D607" s="62">
        <f>('[8]Budget Upah per cost center'!$D$17/12)/1000000+([7]Sheet3!$H$8/1000000)</f>
        <v>23.169421008333334</v>
      </c>
      <c r="E607" s="62">
        <f>D607</f>
        <v>23.169421008333334</v>
      </c>
      <c r="F607" s="62">
        <f t="shared" ref="F607:O607" si="183">E607</f>
        <v>23.169421008333334</v>
      </c>
      <c r="G607" s="62">
        <f t="shared" si="183"/>
        <v>23.169421008333334</v>
      </c>
      <c r="H607" s="62">
        <f t="shared" si="183"/>
        <v>23.169421008333334</v>
      </c>
      <c r="I607" s="62">
        <f t="shared" si="183"/>
        <v>23.169421008333334</v>
      </c>
      <c r="J607" s="62">
        <f t="shared" si="183"/>
        <v>23.169421008333334</v>
      </c>
      <c r="K607" s="62">
        <f t="shared" si="183"/>
        <v>23.169421008333334</v>
      </c>
      <c r="L607" s="62">
        <f t="shared" si="183"/>
        <v>23.169421008333334</v>
      </c>
      <c r="M607" s="62">
        <f t="shared" si="183"/>
        <v>23.169421008333334</v>
      </c>
      <c r="N607" s="62">
        <f t="shared" si="183"/>
        <v>23.169421008333334</v>
      </c>
      <c r="O607" s="62">
        <f t="shared" si="183"/>
        <v>23.169421008333334</v>
      </c>
      <c r="P607" s="62">
        <f t="shared" si="181"/>
        <v>278.03305210000002</v>
      </c>
    </row>
    <row r="608" spans="2:16" ht="13.5" thickBot="1" x14ac:dyDescent="0.35">
      <c r="B608" s="20"/>
      <c r="C608" s="97" t="s">
        <v>177</v>
      </c>
      <c r="D608" s="98">
        <f t="shared" ref="D608:O608" si="184">SUM(D601:D607)</f>
        <v>314.43247310833334</v>
      </c>
      <c r="E608" s="98">
        <f t="shared" si="184"/>
        <v>315.71708909239612</v>
      </c>
      <c r="F608" s="98">
        <f t="shared" si="184"/>
        <v>315.09652393357192</v>
      </c>
      <c r="G608" s="98">
        <f t="shared" si="184"/>
        <v>319.14116897410793</v>
      </c>
      <c r="H608" s="98">
        <f t="shared" si="184"/>
        <v>314.82514527706167</v>
      </c>
      <c r="I608" s="98">
        <f t="shared" si="184"/>
        <v>317.11337746500027</v>
      </c>
      <c r="J608" s="98">
        <f t="shared" si="184"/>
        <v>328.30609430604051</v>
      </c>
      <c r="K608" s="98">
        <f t="shared" si="184"/>
        <v>316.80801493458938</v>
      </c>
      <c r="L608" s="98">
        <f t="shared" si="184"/>
        <v>326.03206499480069</v>
      </c>
      <c r="M608" s="98">
        <f t="shared" si="184"/>
        <v>334.32395408813176</v>
      </c>
      <c r="N608" s="98">
        <f t="shared" si="184"/>
        <v>320.88996649677313</v>
      </c>
      <c r="O608" s="98">
        <f t="shared" si="184"/>
        <v>322.53947424689852</v>
      </c>
      <c r="P608" s="98">
        <f t="shared" si="181"/>
        <v>3845.2253469177049</v>
      </c>
    </row>
    <row r="609" spans="1:16" x14ac:dyDescent="0.3">
      <c r="B609" s="20"/>
      <c r="C609" s="90" t="s">
        <v>178</v>
      </c>
      <c r="D609" s="62">
        <f>[7]Sheet3!$N$8/1000000</f>
        <v>3.2251229625</v>
      </c>
      <c r="E609" s="62">
        <f>D609</f>
        <v>3.2251229625</v>
      </c>
      <c r="F609" s="62">
        <f t="shared" ref="F609:O609" si="185">E609</f>
        <v>3.2251229625</v>
      </c>
      <c r="G609" s="62">
        <f t="shared" si="185"/>
        <v>3.2251229625</v>
      </c>
      <c r="H609" s="62">
        <f t="shared" si="185"/>
        <v>3.2251229625</v>
      </c>
      <c r="I609" s="62">
        <f t="shared" si="185"/>
        <v>3.2251229625</v>
      </c>
      <c r="J609" s="62">
        <f t="shared" si="185"/>
        <v>3.2251229625</v>
      </c>
      <c r="K609" s="62">
        <f t="shared" si="185"/>
        <v>3.2251229625</v>
      </c>
      <c r="L609" s="62">
        <f t="shared" si="185"/>
        <v>3.2251229625</v>
      </c>
      <c r="M609" s="62">
        <f t="shared" si="185"/>
        <v>3.2251229625</v>
      </c>
      <c r="N609" s="62">
        <f t="shared" si="185"/>
        <v>3.2251229625</v>
      </c>
      <c r="O609" s="62">
        <f t="shared" si="185"/>
        <v>3.2251229625</v>
      </c>
      <c r="P609" s="62">
        <f t="shared" si="181"/>
        <v>38.701475549999998</v>
      </c>
    </row>
    <row r="610" spans="1:16" x14ac:dyDescent="0.3">
      <c r="B610" s="20"/>
      <c r="C610" s="90" t="s">
        <v>179</v>
      </c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>
        <f t="shared" si="181"/>
        <v>0</v>
      </c>
    </row>
    <row r="611" spans="1:16" x14ac:dyDescent="0.3">
      <c r="B611" s="20"/>
      <c r="C611" s="90" t="s">
        <v>180</v>
      </c>
      <c r="D611" s="62">
        <f>('[9]Budget Benefit per cost center'!$E$17+'[9]Budget Benefit per cost center'!$F$17+'[9]Budget Benefit per cost center'!$G$17)/1000000+(([7]Sheet3!$I$8+[7]Sheet3!$M$8)/1000000)</f>
        <v>33.066532188166669</v>
      </c>
      <c r="E611" s="62">
        <f>D611</f>
        <v>33.066532188166669</v>
      </c>
      <c r="F611" s="62">
        <f t="shared" ref="F611:O613" si="186">E611</f>
        <v>33.066532188166669</v>
      </c>
      <c r="G611" s="62">
        <f t="shared" si="186"/>
        <v>33.066532188166669</v>
      </c>
      <c r="H611" s="62">
        <f t="shared" si="186"/>
        <v>33.066532188166669</v>
      </c>
      <c r="I611" s="62">
        <f t="shared" si="186"/>
        <v>33.066532188166669</v>
      </c>
      <c r="J611" s="62">
        <f t="shared" si="186"/>
        <v>33.066532188166669</v>
      </c>
      <c r="K611" s="62">
        <f t="shared" si="186"/>
        <v>33.066532188166669</v>
      </c>
      <c r="L611" s="62">
        <f t="shared" si="186"/>
        <v>33.066532188166669</v>
      </c>
      <c r="M611" s="62">
        <f t="shared" si="186"/>
        <v>33.066532188166669</v>
      </c>
      <c r="N611" s="62">
        <f t="shared" si="186"/>
        <v>33.066532188166669</v>
      </c>
      <c r="O611" s="62">
        <f t="shared" si="186"/>
        <v>33.066532188166669</v>
      </c>
      <c r="P611" s="62">
        <f t="shared" si="181"/>
        <v>396.79838625799999</v>
      </c>
    </row>
    <row r="612" spans="1:16" x14ac:dyDescent="0.3">
      <c r="B612" s="20"/>
      <c r="C612" s="90" t="s">
        <v>181</v>
      </c>
      <c r="D612" s="62">
        <f>[7]Sheet3!$L$8/1000000</f>
        <v>4.6441770660000001</v>
      </c>
      <c r="E612" s="62">
        <f>D612</f>
        <v>4.6441770660000001</v>
      </c>
      <c r="F612" s="62">
        <f t="shared" si="186"/>
        <v>4.6441770660000001</v>
      </c>
      <c r="G612" s="62">
        <f t="shared" si="186"/>
        <v>4.6441770660000001</v>
      </c>
      <c r="H612" s="62">
        <f t="shared" si="186"/>
        <v>4.6441770660000001</v>
      </c>
      <c r="I612" s="62">
        <f t="shared" si="186"/>
        <v>4.6441770660000001</v>
      </c>
      <c r="J612" s="62">
        <f t="shared" si="186"/>
        <v>4.6441770660000001</v>
      </c>
      <c r="K612" s="62">
        <f t="shared" si="186"/>
        <v>4.6441770660000001</v>
      </c>
      <c r="L612" s="62">
        <f t="shared" si="186"/>
        <v>4.6441770660000001</v>
      </c>
      <c r="M612" s="62">
        <f t="shared" si="186"/>
        <v>4.6441770660000001</v>
      </c>
      <c r="N612" s="62">
        <f t="shared" si="186"/>
        <v>4.6441770660000001</v>
      </c>
      <c r="O612" s="62">
        <f t="shared" si="186"/>
        <v>4.6441770660000001</v>
      </c>
      <c r="P612" s="62">
        <f t="shared" si="181"/>
        <v>55.730124791999991</v>
      </c>
    </row>
    <row r="613" spans="1:16" x14ac:dyDescent="0.3">
      <c r="B613" s="20"/>
      <c r="C613" s="90" t="s">
        <v>182</v>
      </c>
      <c r="D613" s="62">
        <f>('[9]Budget Benefit per cost center'!$C$17+('[9]Budget Benefit per cost center'!$D$17/12))/1000000</f>
        <v>8.5432749999999995</v>
      </c>
      <c r="E613" s="62">
        <f>D613</f>
        <v>8.5432749999999995</v>
      </c>
      <c r="F613" s="62">
        <f t="shared" si="186"/>
        <v>8.5432749999999995</v>
      </c>
      <c r="G613" s="62">
        <f t="shared" si="186"/>
        <v>8.5432749999999995</v>
      </c>
      <c r="H613" s="62">
        <f t="shared" si="186"/>
        <v>8.5432749999999995</v>
      </c>
      <c r="I613" s="62">
        <f t="shared" si="186"/>
        <v>8.5432749999999995</v>
      </c>
      <c r="J613" s="62">
        <f t="shared" si="186"/>
        <v>8.5432749999999995</v>
      </c>
      <c r="K613" s="62">
        <f t="shared" si="186"/>
        <v>8.5432749999999995</v>
      </c>
      <c r="L613" s="62">
        <f t="shared" si="186"/>
        <v>8.5432749999999995</v>
      </c>
      <c r="M613" s="62">
        <f t="shared" si="186"/>
        <v>8.5432749999999995</v>
      </c>
      <c r="N613" s="62">
        <f t="shared" si="186"/>
        <v>8.5432749999999995</v>
      </c>
      <c r="O613" s="62">
        <f t="shared" si="186"/>
        <v>8.5432749999999995</v>
      </c>
      <c r="P613" s="62">
        <f t="shared" si="181"/>
        <v>102.51929999999997</v>
      </c>
    </row>
    <row r="614" spans="1:16" ht="13.5" thickBot="1" x14ac:dyDescent="0.35">
      <c r="A614" s="20"/>
      <c r="B614" s="20"/>
      <c r="C614" s="99" t="s">
        <v>183</v>
      </c>
      <c r="D614" s="100">
        <f t="shared" ref="D614:O614" si="187">SUM(D609:D613)</f>
        <v>49.479107216666669</v>
      </c>
      <c r="E614" s="100">
        <f t="shared" si="187"/>
        <v>49.479107216666669</v>
      </c>
      <c r="F614" s="100">
        <f t="shared" si="187"/>
        <v>49.479107216666669</v>
      </c>
      <c r="G614" s="100">
        <f t="shared" si="187"/>
        <v>49.479107216666669</v>
      </c>
      <c r="H614" s="100">
        <f t="shared" si="187"/>
        <v>49.479107216666669</v>
      </c>
      <c r="I614" s="100">
        <f t="shared" si="187"/>
        <v>49.479107216666669</v>
      </c>
      <c r="J614" s="100">
        <f t="shared" si="187"/>
        <v>49.479107216666669</v>
      </c>
      <c r="K614" s="100">
        <f t="shared" si="187"/>
        <v>49.479107216666669</v>
      </c>
      <c r="L614" s="100">
        <f t="shared" si="187"/>
        <v>49.479107216666669</v>
      </c>
      <c r="M614" s="100">
        <f t="shared" si="187"/>
        <v>49.479107216666669</v>
      </c>
      <c r="N614" s="100">
        <f t="shared" si="187"/>
        <v>49.479107216666669</v>
      </c>
      <c r="O614" s="100">
        <f t="shared" si="187"/>
        <v>49.479107216666669</v>
      </c>
      <c r="P614" s="100">
        <f t="shared" si="181"/>
        <v>593.74928659999989</v>
      </c>
    </row>
    <row r="615" spans="1:16" ht="13.5" thickBot="1" x14ac:dyDescent="0.35">
      <c r="A615" s="20"/>
      <c r="B615" s="20"/>
      <c r="C615" s="92" t="s">
        <v>184</v>
      </c>
      <c r="D615" s="93">
        <f t="shared" ref="D615:P615" si="188">D580+D600+D608+D614</f>
        <v>364.41158032499999</v>
      </c>
      <c r="E615" s="93">
        <f t="shared" si="188"/>
        <v>365.69619630906277</v>
      </c>
      <c r="F615" s="93">
        <f t="shared" si="188"/>
        <v>368.40896448357188</v>
      </c>
      <c r="G615" s="93">
        <f t="shared" si="188"/>
        <v>372.45360952410789</v>
      </c>
      <c r="H615" s="93">
        <f t="shared" si="188"/>
        <v>368.13758582706163</v>
      </c>
      <c r="I615" s="93">
        <f t="shared" si="188"/>
        <v>370.42581801500023</v>
      </c>
      <c r="J615" s="93">
        <f t="shared" si="188"/>
        <v>381.61853485604047</v>
      </c>
      <c r="K615" s="93">
        <f t="shared" si="188"/>
        <v>370.12045548458934</v>
      </c>
      <c r="L615" s="93">
        <f t="shared" si="188"/>
        <v>379.34450554480065</v>
      </c>
      <c r="M615" s="93">
        <f t="shared" si="188"/>
        <v>387.63639463813172</v>
      </c>
      <c r="N615" s="93">
        <f t="shared" si="188"/>
        <v>374.20240704677309</v>
      </c>
      <c r="O615" s="93">
        <f t="shared" si="188"/>
        <v>375.85191479689848</v>
      </c>
      <c r="P615" s="93">
        <f t="shared" si="188"/>
        <v>4478.3079668510381</v>
      </c>
    </row>
    <row r="616" spans="1:16" ht="13.5" thickBot="1" x14ac:dyDescent="0.35">
      <c r="C616" s="118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</row>
    <row r="617" spans="1:16" ht="13.5" thickBot="1" x14ac:dyDescent="0.35">
      <c r="C617" s="119"/>
      <c r="D617" s="120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</row>
    <row r="618" spans="1:16" ht="14" thickTop="1" thickBot="1" x14ac:dyDescent="0.35">
      <c r="C618" s="127" t="s">
        <v>248</v>
      </c>
      <c r="D618" s="122">
        <f>D615+D617</f>
        <v>364.41158032499999</v>
      </c>
      <c r="E618" s="122">
        <f t="shared" ref="E618:P618" si="189">E615+E617</f>
        <v>365.69619630906277</v>
      </c>
      <c r="F618" s="122">
        <f t="shared" si="189"/>
        <v>368.40896448357188</v>
      </c>
      <c r="G618" s="122">
        <f t="shared" si="189"/>
        <v>372.45360952410789</v>
      </c>
      <c r="H618" s="122">
        <f t="shared" si="189"/>
        <v>368.13758582706163</v>
      </c>
      <c r="I618" s="122">
        <f t="shared" si="189"/>
        <v>370.42581801500023</v>
      </c>
      <c r="J618" s="122">
        <f t="shared" si="189"/>
        <v>381.61853485604047</v>
      </c>
      <c r="K618" s="122">
        <f t="shared" si="189"/>
        <v>370.12045548458934</v>
      </c>
      <c r="L618" s="122">
        <f t="shared" si="189"/>
        <v>379.34450554480065</v>
      </c>
      <c r="M618" s="122">
        <f t="shared" si="189"/>
        <v>387.63639463813172</v>
      </c>
      <c r="N618" s="122">
        <f t="shared" si="189"/>
        <v>374.20240704677309</v>
      </c>
      <c r="O618" s="122">
        <f t="shared" si="189"/>
        <v>375.85191479689848</v>
      </c>
      <c r="P618" s="122">
        <f t="shared" si="189"/>
        <v>4478.3079668510381</v>
      </c>
    </row>
    <row r="619" spans="1:16" ht="14" thickTop="1" thickBot="1" x14ac:dyDescent="0.35">
      <c r="C619" s="128" t="s">
        <v>256</v>
      </c>
      <c r="D619" s="122">
        <f t="shared" ref="D619:P619" si="190">D618+D613</f>
        <v>372.95485532499998</v>
      </c>
      <c r="E619" s="122">
        <f t="shared" si="190"/>
        <v>374.23947130906276</v>
      </c>
      <c r="F619" s="122">
        <f t="shared" si="190"/>
        <v>376.95223948357187</v>
      </c>
      <c r="G619" s="122">
        <f t="shared" si="190"/>
        <v>380.99688452410788</v>
      </c>
      <c r="H619" s="122">
        <f t="shared" si="190"/>
        <v>376.68086082706162</v>
      </c>
      <c r="I619" s="122">
        <f t="shared" si="190"/>
        <v>378.96909301500023</v>
      </c>
      <c r="J619" s="122">
        <f t="shared" si="190"/>
        <v>390.16180985604046</v>
      </c>
      <c r="K619" s="122">
        <f t="shared" si="190"/>
        <v>378.66373048458934</v>
      </c>
      <c r="L619" s="122">
        <f t="shared" si="190"/>
        <v>387.88778054480065</v>
      </c>
      <c r="M619" s="122">
        <f t="shared" si="190"/>
        <v>396.17966963813171</v>
      </c>
      <c r="N619" s="122">
        <f t="shared" si="190"/>
        <v>382.74568204677308</v>
      </c>
      <c r="O619" s="122">
        <f t="shared" si="190"/>
        <v>384.39518979689848</v>
      </c>
      <c r="P619" s="122">
        <f t="shared" si="190"/>
        <v>4580.8272668510381</v>
      </c>
    </row>
    <row r="620" spans="1:16" ht="13.5" thickTop="1" x14ac:dyDescent="0.3">
      <c r="C620" s="63"/>
      <c r="D620" s="126"/>
      <c r="E620" s="126"/>
      <c r="F620" s="126"/>
      <c r="G620" s="126"/>
      <c r="H620" s="126"/>
      <c r="I620" s="126"/>
      <c r="J620" s="126"/>
      <c r="K620" s="126"/>
      <c r="L620" s="126"/>
      <c r="M620" s="126"/>
      <c r="N620" s="126"/>
      <c r="O620" s="126"/>
      <c r="P620" s="126"/>
    </row>
    <row r="621" spans="1:16" x14ac:dyDescent="0.3">
      <c r="C621" s="125"/>
      <c r="D621" s="126"/>
      <c r="E621" s="126"/>
      <c r="F621" s="126"/>
      <c r="G621" s="126"/>
      <c r="H621" s="126"/>
      <c r="I621" s="126"/>
      <c r="J621" s="126"/>
      <c r="K621" s="126"/>
      <c r="L621" s="126"/>
      <c r="M621" s="126"/>
      <c r="N621" s="126"/>
      <c r="O621" s="126"/>
      <c r="P621" s="126"/>
    </row>
    <row r="622" spans="1:16" ht="13.5" thickBot="1" x14ac:dyDescent="0.35">
      <c r="C622" s="66" t="s">
        <v>258</v>
      </c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</row>
    <row r="623" spans="1:16" ht="13.5" customHeight="1" thickBot="1" x14ac:dyDescent="0.35">
      <c r="C623" s="23" t="s">
        <v>69</v>
      </c>
      <c r="D623" s="24" t="s">
        <v>70</v>
      </c>
      <c r="E623" s="24" t="s">
        <v>71</v>
      </c>
      <c r="F623" s="24" t="s">
        <v>72</v>
      </c>
      <c r="G623" s="24" t="s">
        <v>73</v>
      </c>
      <c r="H623" s="24" t="s">
        <v>74</v>
      </c>
      <c r="I623" s="24" t="s">
        <v>75</v>
      </c>
      <c r="J623" s="24" t="s">
        <v>76</v>
      </c>
      <c r="K623" s="24" t="s">
        <v>77</v>
      </c>
      <c r="L623" s="24" t="s">
        <v>78</v>
      </c>
      <c r="M623" s="24" t="s">
        <v>79</v>
      </c>
      <c r="N623" s="24" t="s">
        <v>80</v>
      </c>
      <c r="O623" s="24" t="s">
        <v>81</v>
      </c>
      <c r="P623" s="25" t="s">
        <v>110</v>
      </c>
    </row>
    <row r="624" spans="1:16" ht="13.5" thickBot="1" x14ac:dyDescent="0.35">
      <c r="C624" s="116" t="s">
        <v>247</v>
      </c>
      <c r="D624" s="117"/>
      <c r="E624" s="117"/>
      <c r="F624" s="117"/>
      <c r="G624" s="117"/>
      <c r="H624" s="117"/>
      <c r="I624" s="117"/>
      <c r="J624" s="117"/>
      <c r="K624" s="117"/>
      <c r="L624" s="117"/>
      <c r="M624" s="117"/>
      <c r="N624" s="117"/>
      <c r="O624" s="117"/>
      <c r="P624" s="117"/>
    </row>
    <row r="625" spans="1:16" x14ac:dyDescent="0.3">
      <c r="C625" s="86"/>
      <c r="D625" s="87"/>
      <c r="E625" s="88"/>
      <c r="F625" s="89"/>
      <c r="G625" s="89"/>
      <c r="H625" s="89"/>
      <c r="I625" s="89"/>
      <c r="J625" s="89"/>
      <c r="K625" s="89"/>
      <c r="L625" s="87"/>
      <c r="M625" s="89"/>
      <c r="N625" s="89"/>
      <c r="O625" s="89"/>
      <c r="P625" s="89"/>
    </row>
    <row r="626" spans="1:16" x14ac:dyDescent="0.3">
      <c r="C626" s="90" t="s">
        <v>147</v>
      </c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>
        <f t="shared" ref="P626:P628" si="191">D626+E626+F626+G626+H626+I626+J626+K626+L626+M626+N626+O626</f>
        <v>0</v>
      </c>
    </row>
    <row r="627" spans="1:16" x14ac:dyDescent="0.3">
      <c r="C627" s="33" t="s">
        <v>148</v>
      </c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>
        <f t="shared" si="191"/>
        <v>0</v>
      </c>
    </row>
    <row r="628" spans="1:16" x14ac:dyDescent="0.3">
      <c r="C628" s="90" t="s">
        <v>149</v>
      </c>
      <c r="D628" s="62">
        <f>[15]Sheet1!D622/1000000</f>
        <v>0</v>
      </c>
      <c r="E628" s="62">
        <f>[15]Sheet1!E622/1000000</f>
        <v>0</v>
      </c>
      <c r="F628" s="62">
        <f>[15]Sheet1!F622/1000000</f>
        <v>0</v>
      </c>
      <c r="G628" s="62">
        <f>[15]Sheet1!G622/1000000</f>
        <v>0</v>
      </c>
      <c r="H628" s="62">
        <f>[15]Sheet1!H622/1000000</f>
        <v>0</v>
      </c>
      <c r="I628" s="62">
        <f>[15]Sheet1!I622/1000000</f>
        <v>0</v>
      </c>
      <c r="J628" s="62">
        <f>[15]Sheet1!J622/1000000</f>
        <v>0</v>
      </c>
      <c r="K628" s="62">
        <f>[15]Sheet1!K622/1000000</f>
        <v>0</v>
      </c>
      <c r="L628" s="62">
        <f>[15]Sheet1!L622/1000000</f>
        <v>0</v>
      </c>
      <c r="M628" s="62">
        <f>[15]Sheet1!M622/1000000</f>
        <v>0</v>
      </c>
      <c r="N628" s="62">
        <f>[15]Sheet1!N622/1000000</f>
        <v>0</v>
      </c>
      <c r="O628" s="62">
        <f>[15]Sheet1!O622/1000000</f>
        <v>0</v>
      </c>
      <c r="P628" s="62">
        <f t="shared" si="191"/>
        <v>0</v>
      </c>
    </row>
    <row r="629" spans="1:16" ht="13.5" thickBot="1" x14ac:dyDescent="0.35">
      <c r="C629" s="90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</row>
    <row r="630" spans="1:16" ht="13.5" thickBot="1" x14ac:dyDescent="0.35">
      <c r="A630" s="20"/>
      <c r="B630" s="20"/>
      <c r="C630" s="92" t="s">
        <v>150</v>
      </c>
      <c r="D630" s="93">
        <f t="shared" ref="D630" si="192">SUM(D626:D629)</f>
        <v>0</v>
      </c>
      <c r="E630" s="93">
        <f t="shared" ref="E630:P630" si="193">SUM(E626:E629)</f>
        <v>0</v>
      </c>
      <c r="F630" s="93">
        <f t="shared" si="193"/>
        <v>0</v>
      </c>
      <c r="G630" s="93">
        <f t="shared" si="193"/>
        <v>0</v>
      </c>
      <c r="H630" s="93">
        <f t="shared" si="193"/>
        <v>0</v>
      </c>
      <c r="I630" s="93">
        <f t="shared" si="193"/>
        <v>0</v>
      </c>
      <c r="J630" s="93">
        <f t="shared" si="193"/>
        <v>0</v>
      </c>
      <c r="K630" s="93">
        <f t="shared" si="193"/>
        <v>0</v>
      </c>
      <c r="L630" s="93">
        <f t="shared" si="193"/>
        <v>0</v>
      </c>
      <c r="M630" s="93">
        <f t="shared" si="193"/>
        <v>0</v>
      </c>
      <c r="N630" s="93">
        <f t="shared" si="193"/>
        <v>0</v>
      </c>
      <c r="O630" s="93">
        <f t="shared" si="193"/>
        <v>0</v>
      </c>
      <c r="P630" s="93">
        <f t="shared" si="193"/>
        <v>0</v>
      </c>
    </row>
    <row r="631" spans="1:16" x14ac:dyDescent="0.3">
      <c r="C631" s="94"/>
      <c r="D631" s="107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43"/>
    </row>
    <row r="632" spans="1:16" x14ac:dyDescent="0.3">
      <c r="C632" s="90" t="s">
        <v>151</v>
      </c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62">
        <f t="shared" ref="P632:P649" si="194">D632+E632+F632+G632+H632+I632+J632+K632+L632+M632+N632+O632</f>
        <v>0</v>
      </c>
    </row>
    <row r="633" spans="1:16" x14ac:dyDescent="0.3">
      <c r="C633" s="90" t="s">
        <v>152</v>
      </c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62">
        <f t="shared" si="194"/>
        <v>0</v>
      </c>
    </row>
    <row r="634" spans="1:16" x14ac:dyDescent="0.3">
      <c r="C634" s="90" t="s">
        <v>153</v>
      </c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62">
        <f t="shared" si="194"/>
        <v>0</v>
      </c>
    </row>
    <row r="635" spans="1:16" x14ac:dyDescent="0.3">
      <c r="C635" s="90" t="s">
        <v>154</v>
      </c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62">
        <f t="shared" si="194"/>
        <v>0</v>
      </c>
    </row>
    <row r="636" spans="1:16" x14ac:dyDescent="0.3">
      <c r="C636" s="90" t="s">
        <v>155</v>
      </c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62">
        <f t="shared" si="194"/>
        <v>0</v>
      </c>
    </row>
    <row r="637" spans="1:16" x14ac:dyDescent="0.3">
      <c r="C637" s="90" t="s">
        <v>156</v>
      </c>
      <c r="D637" s="103">
        <f>[15]Sheet1!D631/1000000</f>
        <v>0</v>
      </c>
      <c r="E637" s="103">
        <f>[15]Sheet1!E631/1000000</f>
        <v>0</v>
      </c>
      <c r="F637" s="103">
        <f>[15]Sheet1!F631/1000000</f>
        <v>0</v>
      </c>
      <c r="G637" s="103">
        <f>[15]Sheet1!G631/1000000</f>
        <v>0</v>
      </c>
      <c r="H637" s="103">
        <f>[15]Sheet1!H631/1000000</f>
        <v>0</v>
      </c>
      <c r="I637" s="103">
        <f>[15]Sheet1!I631/1000000</f>
        <v>0</v>
      </c>
      <c r="J637" s="103">
        <f>[15]Sheet1!J631/1000000</f>
        <v>0</v>
      </c>
      <c r="K637" s="103">
        <f>[15]Sheet1!K631/1000000</f>
        <v>0</v>
      </c>
      <c r="L637" s="103">
        <f>[15]Sheet1!L631/1000000</f>
        <v>0</v>
      </c>
      <c r="M637" s="103">
        <f>[15]Sheet1!M631/1000000</f>
        <v>0</v>
      </c>
      <c r="N637" s="103">
        <f>[15]Sheet1!N631/1000000</f>
        <v>0</v>
      </c>
      <c r="O637" s="103">
        <f>[15]Sheet1!O631/1000000</f>
        <v>0</v>
      </c>
      <c r="P637" s="62">
        <f t="shared" si="194"/>
        <v>0</v>
      </c>
    </row>
    <row r="638" spans="1:16" x14ac:dyDescent="0.3">
      <c r="C638" s="90" t="s">
        <v>157</v>
      </c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62">
        <f t="shared" si="194"/>
        <v>0</v>
      </c>
    </row>
    <row r="639" spans="1:16" x14ac:dyDescent="0.3">
      <c r="B639" s="20"/>
      <c r="C639" s="90" t="s">
        <v>158</v>
      </c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62">
        <f t="shared" si="194"/>
        <v>0</v>
      </c>
    </row>
    <row r="640" spans="1:16" x14ac:dyDescent="0.3">
      <c r="C640" s="90" t="s">
        <v>159</v>
      </c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62">
        <f t="shared" si="194"/>
        <v>0</v>
      </c>
    </row>
    <row r="641" spans="2:16" x14ac:dyDescent="0.3">
      <c r="C641" s="90" t="s">
        <v>160</v>
      </c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62">
        <f t="shared" si="194"/>
        <v>0</v>
      </c>
    </row>
    <row r="642" spans="2:16" x14ac:dyDescent="0.3">
      <c r="C642" s="90" t="s">
        <v>161</v>
      </c>
      <c r="D642" s="103">
        <f>'[13]Budget Depre'!E39/1000000</f>
        <v>0</v>
      </c>
      <c r="E642" s="103">
        <f>'[13]Budget Depre'!F39/1000000</f>
        <v>0</v>
      </c>
      <c r="F642" s="103">
        <f>'[13]Budget Depre'!G39/1000000</f>
        <v>0</v>
      </c>
      <c r="G642" s="103">
        <f>'[13]Budget Depre'!H39/1000000</f>
        <v>0</v>
      </c>
      <c r="H642" s="103">
        <f>'[13]Budget Depre'!I39/1000000</f>
        <v>0</v>
      </c>
      <c r="I642" s="103">
        <f>'[13]Budget Depre'!J39/1000000</f>
        <v>0</v>
      </c>
      <c r="J642" s="103">
        <f>'[13]Budget Depre'!K39/1000000</f>
        <v>0</v>
      </c>
      <c r="K642" s="103">
        <f>'[13]Budget Depre'!L39/1000000</f>
        <v>0</v>
      </c>
      <c r="L642" s="103">
        <f>'[13]Budget Depre'!M39/1000000</f>
        <v>0</v>
      </c>
      <c r="M642" s="103">
        <f>'[13]Budget Depre'!N39/1000000</f>
        <v>0</v>
      </c>
      <c r="N642" s="103">
        <f>'[13]Budget Depre'!O39/1000000</f>
        <v>0</v>
      </c>
      <c r="O642" s="103">
        <f>'[13]Budget Depre'!P39/1000000</f>
        <v>0</v>
      </c>
      <c r="P642" s="62">
        <f t="shared" si="194"/>
        <v>0</v>
      </c>
    </row>
    <row r="643" spans="2:16" x14ac:dyDescent="0.3">
      <c r="C643" s="90" t="s">
        <v>162</v>
      </c>
      <c r="D643" s="103">
        <f>'[13]Budget Depre'!E40/1000000</f>
        <v>0</v>
      </c>
      <c r="E643" s="103">
        <f>'[13]Budget Depre'!F40/1000000</f>
        <v>0</v>
      </c>
      <c r="F643" s="103">
        <f>'[13]Budget Depre'!G40/1000000</f>
        <v>0</v>
      </c>
      <c r="G643" s="103">
        <f>'[13]Budget Depre'!H40/1000000</f>
        <v>0</v>
      </c>
      <c r="H643" s="103">
        <f>'[13]Budget Depre'!I40/1000000</f>
        <v>0</v>
      </c>
      <c r="I643" s="103">
        <f>'[13]Budget Depre'!J40/1000000</f>
        <v>0</v>
      </c>
      <c r="J643" s="103">
        <f>'[13]Budget Depre'!K40/1000000</f>
        <v>0</v>
      </c>
      <c r="K643" s="103">
        <f>'[13]Budget Depre'!L40/1000000</f>
        <v>0</v>
      </c>
      <c r="L643" s="103">
        <f>'[13]Budget Depre'!M40/1000000</f>
        <v>0</v>
      </c>
      <c r="M643" s="103">
        <f>'[13]Budget Depre'!N40/1000000</f>
        <v>0</v>
      </c>
      <c r="N643" s="103">
        <f>'[13]Budget Depre'!O40/1000000</f>
        <v>0</v>
      </c>
      <c r="O643" s="103">
        <f>'[13]Budget Depre'!P40/1000000</f>
        <v>0</v>
      </c>
      <c r="P643" s="62">
        <f t="shared" si="194"/>
        <v>0</v>
      </c>
    </row>
    <row r="644" spans="2:16" x14ac:dyDescent="0.3">
      <c r="C644" s="90" t="s">
        <v>163</v>
      </c>
      <c r="D644" s="103">
        <f>'[13]Budget Depre'!E41/1000000</f>
        <v>1.3333333333333333</v>
      </c>
      <c r="E644" s="103">
        <f>'[13]Budget Depre'!F41/1000000</f>
        <v>1.3333333333333333</v>
      </c>
      <c r="F644" s="103">
        <f>'[13]Budget Depre'!G41/1000000</f>
        <v>1.3333333333333333</v>
      </c>
      <c r="G644" s="103">
        <f>'[13]Budget Depre'!H41/1000000</f>
        <v>1.3333333333333333</v>
      </c>
      <c r="H644" s="103">
        <f>'[13]Budget Depre'!I41/1000000</f>
        <v>1.3333333333333333</v>
      </c>
      <c r="I644" s="103">
        <f>'[13]Budget Depre'!J41/1000000</f>
        <v>3.333333333333333</v>
      </c>
      <c r="J644" s="103">
        <f>'[13]Budget Depre'!K41/1000000</f>
        <v>3.333333333333333</v>
      </c>
      <c r="K644" s="103">
        <f>'[13]Budget Depre'!L41/1000000</f>
        <v>3.333333333333333</v>
      </c>
      <c r="L644" s="103">
        <f>'[13]Budget Depre'!M41/1000000</f>
        <v>3.333333333333333</v>
      </c>
      <c r="M644" s="103">
        <f>'[13]Budget Depre'!N41/1000000</f>
        <v>3.333333333333333</v>
      </c>
      <c r="N644" s="103">
        <f>'[13]Budget Depre'!O41/1000000</f>
        <v>3.333333333333333</v>
      </c>
      <c r="O644" s="103">
        <f>'[13]Budget Depre'!P41/1000000</f>
        <v>3.333333333333333</v>
      </c>
      <c r="P644" s="62">
        <f t="shared" si="194"/>
        <v>29.999999999999993</v>
      </c>
    </row>
    <row r="645" spans="2:16" x14ac:dyDescent="0.3">
      <c r="C645" s="90" t="s">
        <v>164</v>
      </c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62">
        <f t="shared" si="194"/>
        <v>0</v>
      </c>
    </row>
    <row r="646" spans="2:16" x14ac:dyDescent="0.3">
      <c r="C646" s="90" t="s">
        <v>165</v>
      </c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62">
        <f t="shared" si="194"/>
        <v>0</v>
      </c>
    </row>
    <row r="647" spans="2:16" x14ac:dyDescent="0.3">
      <c r="C647" s="90" t="s">
        <v>166</v>
      </c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62">
        <f t="shared" si="194"/>
        <v>0</v>
      </c>
    </row>
    <row r="648" spans="2:16" x14ac:dyDescent="0.3">
      <c r="C648" s="90" t="s">
        <v>167</v>
      </c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62">
        <f t="shared" si="194"/>
        <v>0</v>
      </c>
    </row>
    <row r="649" spans="2:16" ht="13.5" thickBot="1" x14ac:dyDescent="0.35">
      <c r="C649" s="90" t="s">
        <v>168</v>
      </c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62">
        <f t="shared" si="194"/>
        <v>0</v>
      </c>
    </row>
    <row r="650" spans="2:16" ht="13.5" thickBot="1" x14ac:dyDescent="0.35">
      <c r="B650" s="20"/>
      <c r="C650" s="95" t="s">
        <v>169</v>
      </c>
      <c r="D650" s="93">
        <f t="shared" ref="D650:P650" si="195">SUM(D632:D649)</f>
        <v>1.3333333333333333</v>
      </c>
      <c r="E650" s="93">
        <f t="shared" si="195"/>
        <v>1.3333333333333333</v>
      </c>
      <c r="F650" s="93">
        <f t="shared" si="195"/>
        <v>1.3333333333333333</v>
      </c>
      <c r="G650" s="93">
        <f t="shared" si="195"/>
        <v>1.3333333333333333</v>
      </c>
      <c r="H650" s="93">
        <f t="shared" si="195"/>
        <v>1.3333333333333333</v>
      </c>
      <c r="I650" s="93">
        <f t="shared" si="195"/>
        <v>3.333333333333333</v>
      </c>
      <c r="J650" s="93">
        <f t="shared" si="195"/>
        <v>3.333333333333333</v>
      </c>
      <c r="K650" s="93">
        <f t="shared" si="195"/>
        <v>3.333333333333333</v>
      </c>
      <c r="L650" s="93">
        <f t="shared" si="195"/>
        <v>3.333333333333333</v>
      </c>
      <c r="M650" s="93">
        <f t="shared" si="195"/>
        <v>3.333333333333333</v>
      </c>
      <c r="N650" s="93">
        <f t="shared" si="195"/>
        <v>3.333333333333333</v>
      </c>
      <c r="O650" s="93">
        <f t="shared" si="195"/>
        <v>3.333333333333333</v>
      </c>
      <c r="P650" s="93">
        <f t="shared" si="195"/>
        <v>29.999999999999993</v>
      </c>
    </row>
    <row r="651" spans="2:16" x14ac:dyDescent="0.3">
      <c r="C651" s="90" t="s">
        <v>170</v>
      </c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>
        <f t="shared" ref="P651:P664" si="196">D651+E651+F651+G651+H651+I651+J651+K651+L651+M651+N651+O651</f>
        <v>0</v>
      </c>
    </row>
    <row r="652" spans="2:16" x14ac:dyDescent="0.3">
      <c r="C652" s="90" t="s">
        <v>171</v>
      </c>
      <c r="D652" s="62">
        <f>'[16]LEMBUR MO'!N12/1000000</f>
        <v>0</v>
      </c>
      <c r="E652" s="62">
        <f>'[16]LEMBUR MO'!O12/1000000</f>
        <v>0.42836963861271682</v>
      </c>
      <c r="F652" s="62">
        <f>'[16]LEMBUR MO'!P12/1000000</f>
        <v>0.42836963861271682</v>
      </c>
      <c r="G652" s="62">
        <f>'[16]LEMBUR MO'!Q12/1000000</f>
        <v>0.42836963861271682</v>
      </c>
      <c r="H652" s="62">
        <f>'[16]LEMBUR MO'!R12/1000000</f>
        <v>0.42836963861271682</v>
      </c>
      <c r="I652" s="62">
        <f>'[16]LEMBUR MO'!S12/1000000</f>
        <v>2.9985874702890176</v>
      </c>
      <c r="J652" s="62">
        <f>'[16]LEMBUR MO'!T12/1000000</f>
        <v>10.433860483352602</v>
      </c>
      <c r="K652" s="62">
        <f>'[16]LEMBUR MO'!U12/1000000</f>
        <v>4.3448920487861269</v>
      </c>
      <c r="L652" s="62">
        <f>'[16]LEMBUR MO'!V12/1000000</f>
        <v>9.9136973507514448</v>
      </c>
      <c r="M652" s="62">
        <f>'[16]LEMBUR MO'!W12/1000000</f>
        <v>0</v>
      </c>
      <c r="N652" s="62">
        <f>'[16]LEMBUR MO'!X12/1000000</f>
        <v>5.8135879526011562</v>
      </c>
      <c r="O652" s="62">
        <f>'[16]LEMBUR MO'!Y12/1000000</f>
        <v>5.5688053019653179</v>
      </c>
      <c r="P652" s="62">
        <f t="shared" si="196"/>
        <v>40.786909162196537</v>
      </c>
    </row>
    <row r="653" spans="2:16" x14ac:dyDescent="0.3">
      <c r="C653" s="90" t="s">
        <v>172</v>
      </c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>
        <f t="shared" si="196"/>
        <v>0</v>
      </c>
    </row>
    <row r="654" spans="2:16" x14ac:dyDescent="0.3">
      <c r="C654" s="90" t="s">
        <v>173</v>
      </c>
      <c r="D654" s="62">
        <f>'[8]Budget Upah per cost center'!$C$19/1000000+([7]Sheet3!$G$12/1000000)</f>
        <v>132.18553144000001</v>
      </c>
      <c r="E654" s="62">
        <f>D654</f>
        <v>132.18553144000001</v>
      </c>
      <c r="F654" s="62">
        <f t="shared" ref="F654:O654" si="197">E654</f>
        <v>132.18553144000001</v>
      </c>
      <c r="G654" s="62">
        <f t="shared" si="197"/>
        <v>132.18553144000001</v>
      </c>
      <c r="H654" s="62">
        <f t="shared" si="197"/>
        <v>132.18553144000001</v>
      </c>
      <c r="I654" s="62">
        <f t="shared" si="197"/>
        <v>132.18553144000001</v>
      </c>
      <c r="J654" s="62">
        <f t="shared" si="197"/>
        <v>132.18553144000001</v>
      </c>
      <c r="K654" s="62">
        <f t="shared" si="197"/>
        <v>132.18553144000001</v>
      </c>
      <c r="L654" s="62">
        <f t="shared" si="197"/>
        <v>132.18553144000001</v>
      </c>
      <c r="M654" s="62">
        <f t="shared" si="197"/>
        <v>132.18553144000001</v>
      </c>
      <c r="N654" s="62">
        <f t="shared" si="197"/>
        <v>132.18553144000001</v>
      </c>
      <c r="O654" s="62">
        <f t="shared" si="197"/>
        <v>132.18553144000001</v>
      </c>
      <c r="P654" s="62">
        <f t="shared" si="196"/>
        <v>1586.22637728</v>
      </c>
    </row>
    <row r="655" spans="2:16" x14ac:dyDescent="0.3">
      <c r="C655" s="90" t="s">
        <v>174</v>
      </c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>
        <f t="shared" si="196"/>
        <v>0</v>
      </c>
    </row>
    <row r="656" spans="2:16" x14ac:dyDescent="0.3">
      <c r="C656" s="90" t="s">
        <v>175</v>
      </c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>
        <f t="shared" si="196"/>
        <v>0</v>
      </c>
    </row>
    <row r="657" spans="1:16" ht="13.5" thickBot="1" x14ac:dyDescent="0.35">
      <c r="C657" s="90" t="s">
        <v>176</v>
      </c>
      <c r="D657" s="62">
        <f>('[8]Budget Upah per cost center'!$D$19/12)/1000000+([7]Sheet3!$H$12/1000000)</f>
        <v>10.507960953333333</v>
      </c>
      <c r="E657" s="62">
        <f>D657</f>
        <v>10.507960953333333</v>
      </c>
      <c r="F657" s="62">
        <f t="shared" ref="F657:O657" si="198">E657</f>
        <v>10.507960953333333</v>
      </c>
      <c r="G657" s="62">
        <f t="shared" si="198"/>
        <v>10.507960953333333</v>
      </c>
      <c r="H657" s="62">
        <f t="shared" si="198"/>
        <v>10.507960953333333</v>
      </c>
      <c r="I657" s="62">
        <f t="shared" si="198"/>
        <v>10.507960953333333</v>
      </c>
      <c r="J657" s="62">
        <f t="shared" si="198"/>
        <v>10.507960953333333</v>
      </c>
      <c r="K657" s="62">
        <f t="shared" si="198"/>
        <v>10.507960953333333</v>
      </c>
      <c r="L657" s="62">
        <f t="shared" si="198"/>
        <v>10.507960953333333</v>
      </c>
      <c r="M657" s="62">
        <f t="shared" si="198"/>
        <v>10.507960953333333</v>
      </c>
      <c r="N657" s="62">
        <f t="shared" si="198"/>
        <v>10.507960953333333</v>
      </c>
      <c r="O657" s="62">
        <f t="shared" si="198"/>
        <v>10.507960953333333</v>
      </c>
      <c r="P657" s="62">
        <f t="shared" si="196"/>
        <v>126.09553144000002</v>
      </c>
    </row>
    <row r="658" spans="1:16" ht="13.5" thickBot="1" x14ac:dyDescent="0.35">
      <c r="B658" s="20"/>
      <c r="C658" s="97" t="s">
        <v>177</v>
      </c>
      <c r="D658" s="98">
        <f t="shared" ref="D658:O658" si="199">SUM(D651:D657)</f>
        <v>142.69349239333334</v>
      </c>
      <c r="E658" s="98">
        <f t="shared" si="199"/>
        <v>143.12186203194605</v>
      </c>
      <c r="F658" s="98">
        <f t="shared" si="199"/>
        <v>143.12186203194605</v>
      </c>
      <c r="G658" s="98">
        <f t="shared" si="199"/>
        <v>143.12186203194605</v>
      </c>
      <c r="H658" s="98">
        <f t="shared" si="199"/>
        <v>143.12186203194605</v>
      </c>
      <c r="I658" s="98">
        <f t="shared" si="199"/>
        <v>145.69207986362235</v>
      </c>
      <c r="J658" s="98">
        <f t="shared" si="199"/>
        <v>153.12735287668593</v>
      </c>
      <c r="K658" s="98">
        <f t="shared" si="199"/>
        <v>147.03838444211948</v>
      </c>
      <c r="L658" s="98">
        <f t="shared" si="199"/>
        <v>152.60718974408479</v>
      </c>
      <c r="M658" s="98">
        <f t="shared" si="199"/>
        <v>142.69349239333334</v>
      </c>
      <c r="N658" s="98">
        <f t="shared" si="199"/>
        <v>148.5070803459345</v>
      </c>
      <c r="O658" s="98">
        <f t="shared" si="199"/>
        <v>148.26229769529866</v>
      </c>
      <c r="P658" s="98">
        <f t="shared" si="196"/>
        <v>1753.1088178821967</v>
      </c>
    </row>
    <row r="659" spans="1:16" x14ac:dyDescent="0.3">
      <c r="B659" s="20"/>
      <c r="C659" s="90" t="s">
        <v>178</v>
      </c>
      <c r="D659" s="62">
        <f>[7]Sheet3!$N$12/1000000</f>
        <v>1.311299185</v>
      </c>
      <c r="E659" s="62">
        <f>D659</f>
        <v>1.311299185</v>
      </c>
      <c r="F659" s="62">
        <f t="shared" ref="F659:O659" si="200">E659</f>
        <v>1.311299185</v>
      </c>
      <c r="G659" s="62">
        <f t="shared" si="200"/>
        <v>1.311299185</v>
      </c>
      <c r="H659" s="62">
        <f t="shared" si="200"/>
        <v>1.311299185</v>
      </c>
      <c r="I659" s="62">
        <f t="shared" si="200"/>
        <v>1.311299185</v>
      </c>
      <c r="J659" s="62">
        <f t="shared" si="200"/>
        <v>1.311299185</v>
      </c>
      <c r="K659" s="62">
        <f t="shared" si="200"/>
        <v>1.311299185</v>
      </c>
      <c r="L659" s="62">
        <f t="shared" si="200"/>
        <v>1.311299185</v>
      </c>
      <c r="M659" s="62">
        <f t="shared" si="200"/>
        <v>1.311299185</v>
      </c>
      <c r="N659" s="62">
        <f t="shared" si="200"/>
        <v>1.311299185</v>
      </c>
      <c r="O659" s="62">
        <f t="shared" si="200"/>
        <v>1.311299185</v>
      </c>
      <c r="P659" s="62">
        <f t="shared" si="196"/>
        <v>15.735590219999997</v>
      </c>
    </row>
    <row r="660" spans="1:16" x14ac:dyDescent="0.3">
      <c r="B660" s="20"/>
      <c r="C660" s="90" t="s">
        <v>179</v>
      </c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>
        <f t="shared" si="196"/>
        <v>0</v>
      </c>
    </row>
    <row r="661" spans="1:16" x14ac:dyDescent="0.3">
      <c r="B661" s="20"/>
      <c r="C661" s="90" t="s">
        <v>180</v>
      </c>
      <c r="D661" s="62">
        <f>('[9]Budget Benefit per cost center'!$E$19+'[9]Budget Benefit per cost center'!$F$19+'[9]Budget Benefit per cost center'!$G$19)/1000000+(([7]Sheet3!$I$12+[7]Sheet3!$M$12)/1000000)</f>
        <v>15.367009688166668</v>
      </c>
      <c r="E661" s="62">
        <f>D661</f>
        <v>15.367009688166668</v>
      </c>
      <c r="F661" s="62">
        <f t="shared" ref="F661:O661" si="201">E661</f>
        <v>15.367009688166668</v>
      </c>
      <c r="G661" s="62">
        <f t="shared" si="201"/>
        <v>15.367009688166668</v>
      </c>
      <c r="H661" s="62">
        <f t="shared" si="201"/>
        <v>15.367009688166668</v>
      </c>
      <c r="I661" s="62">
        <f t="shared" si="201"/>
        <v>15.367009688166668</v>
      </c>
      <c r="J661" s="62">
        <f t="shared" si="201"/>
        <v>15.367009688166668</v>
      </c>
      <c r="K661" s="62">
        <f t="shared" si="201"/>
        <v>15.367009688166668</v>
      </c>
      <c r="L661" s="62">
        <f t="shared" si="201"/>
        <v>15.367009688166668</v>
      </c>
      <c r="M661" s="62">
        <f t="shared" si="201"/>
        <v>15.367009688166668</v>
      </c>
      <c r="N661" s="62">
        <f t="shared" si="201"/>
        <v>15.367009688166668</v>
      </c>
      <c r="O661" s="62">
        <f t="shared" si="201"/>
        <v>15.367009688166668</v>
      </c>
      <c r="P661" s="62">
        <f t="shared" si="196"/>
        <v>184.40411625799996</v>
      </c>
    </row>
    <row r="662" spans="1:16" x14ac:dyDescent="0.3">
      <c r="B662" s="20"/>
      <c r="C662" s="90" t="s">
        <v>181</v>
      </c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>
        <f t="shared" si="196"/>
        <v>0</v>
      </c>
    </row>
    <row r="663" spans="1:16" x14ac:dyDescent="0.3">
      <c r="B663" s="20"/>
      <c r="C663" s="90" t="s">
        <v>182</v>
      </c>
      <c r="D663" s="62">
        <f>('[9]Budget Benefit per cost center'!$C$19+('[9]Budget Benefit per cost center'!$D$19/12))/1000000+(([7]Sheet3!$J$12+[7]Sheet3!$K$12)/1000000)</f>
        <v>5.4084833333333338</v>
      </c>
      <c r="E663" s="62">
        <f>D663</f>
        <v>5.4084833333333338</v>
      </c>
      <c r="F663" s="62">
        <f t="shared" ref="F663:O663" si="202">E663</f>
        <v>5.4084833333333338</v>
      </c>
      <c r="G663" s="62">
        <f t="shared" si="202"/>
        <v>5.4084833333333338</v>
      </c>
      <c r="H663" s="62">
        <f t="shared" si="202"/>
        <v>5.4084833333333338</v>
      </c>
      <c r="I663" s="62">
        <f t="shared" si="202"/>
        <v>5.4084833333333338</v>
      </c>
      <c r="J663" s="62">
        <f t="shared" si="202"/>
        <v>5.4084833333333338</v>
      </c>
      <c r="K663" s="62">
        <f t="shared" si="202"/>
        <v>5.4084833333333338</v>
      </c>
      <c r="L663" s="62">
        <f t="shared" si="202"/>
        <v>5.4084833333333338</v>
      </c>
      <c r="M663" s="62">
        <f t="shared" si="202"/>
        <v>5.4084833333333338</v>
      </c>
      <c r="N663" s="62">
        <f t="shared" si="202"/>
        <v>5.4084833333333338</v>
      </c>
      <c r="O663" s="62">
        <f t="shared" si="202"/>
        <v>5.4084833333333338</v>
      </c>
      <c r="P663" s="62">
        <f t="shared" si="196"/>
        <v>64.901800000000023</v>
      </c>
    </row>
    <row r="664" spans="1:16" ht="13.5" thickBot="1" x14ac:dyDescent="0.35">
      <c r="A664" s="20"/>
      <c r="B664" s="20"/>
      <c r="C664" s="99" t="s">
        <v>183</v>
      </c>
      <c r="D664" s="100">
        <f t="shared" ref="D664:O664" si="203">SUM(D659:D663)</f>
        <v>22.0867922065</v>
      </c>
      <c r="E664" s="100">
        <f t="shared" si="203"/>
        <v>22.0867922065</v>
      </c>
      <c r="F664" s="100">
        <f t="shared" si="203"/>
        <v>22.0867922065</v>
      </c>
      <c r="G664" s="100">
        <f t="shared" si="203"/>
        <v>22.0867922065</v>
      </c>
      <c r="H664" s="100">
        <f t="shared" si="203"/>
        <v>22.0867922065</v>
      </c>
      <c r="I664" s="100">
        <f t="shared" si="203"/>
        <v>22.0867922065</v>
      </c>
      <c r="J664" s="100">
        <f t="shared" si="203"/>
        <v>22.0867922065</v>
      </c>
      <c r="K664" s="100">
        <f t="shared" si="203"/>
        <v>22.0867922065</v>
      </c>
      <c r="L664" s="100">
        <f t="shared" si="203"/>
        <v>22.0867922065</v>
      </c>
      <c r="M664" s="100">
        <f t="shared" si="203"/>
        <v>22.0867922065</v>
      </c>
      <c r="N664" s="100">
        <f t="shared" si="203"/>
        <v>22.0867922065</v>
      </c>
      <c r="O664" s="100">
        <f t="shared" si="203"/>
        <v>22.0867922065</v>
      </c>
      <c r="P664" s="100">
        <f t="shared" si="196"/>
        <v>265.04150647800003</v>
      </c>
    </row>
    <row r="665" spans="1:16" ht="13.5" thickBot="1" x14ac:dyDescent="0.35">
      <c r="A665" s="20"/>
      <c r="B665" s="20"/>
      <c r="C665" s="92" t="s">
        <v>184</v>
      </c>
      <c r="D665" s="93">
        <f t="shared" ref="D665:P665" si="204">D630+D650+D658+D664</f>
        <v>166.11361793316669</v>
      </c>
      <c r="E665" s="93">
        <f t="shared" si="204"/>
        <v>166.5419875717794</v>
      </c>
      <c r="F665" s="93">
        <f t="shared" si="204"/>
        <v>166.5419875717794</v>
      </c>
      <c r="G665" s="93">
        <f t="shared" si="204"/>
        <v>166.5419875717794</v>
      </c>
      <c r="H665" s="93">
        <f t="shared" si="204"/>
        <v>166.5419875717794</v>
      </c>
      <c r="I665" s="93">
        <f t="shared" si="204"/>
        <v>171.1122054034557</v>
      </c>
      <c r="J665" s="93">
        <f t="shared" si="204"/>
        <v>178.54747841651928</v>
      </c>
      <c r="K665" s="93">
        <f t="shared" si="204"/>
        <v>172.45850998195283</v>
      </c>
      <c r="L665" s="93">
        <f t="shared" si="204"/>
        <v>178.02731528391814</v>
      </c>
      <c r="M665" s="93">
        <f t="shared" si="204"/>
        <v>168.11361793316669</v>
      </c>
      <c r="N665" s="93">
        <f t="shared" si="204"/>
        <v>173.92720588576785</v>
      </c>
      <c r="O665" s="93">
        <f t="shared" si="204"/>
        <v>173.68242323513201</v>
      </c>
      <c r="P665" s="93">
        <f t="shared" si="204"/>
        <v>2048.1503243601969</v>
      </c>
    </row>
    <row r="666" spans="1:16" ht="13.5" thickBot="1" x14ac:dyDescent="0.35">
      <c r="C666" s="118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</row>
    <row r="667" spans="1:16" ht="13.5" thickBot="1" x14ac:dyDescent="0.35">
      <c r="C667" s="119"/>
      <c r="D667" s="120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</row>
    <row r="668" spans="1:16" ht="14" thickTop="1" thickBot="1" x14ac:dyDescent="0.35">
      <c r="C668" s="127" t="s">
        <v>248</v>
      </c>
      <c r="D668" s="122">
        <f>D665+D667</f>
        <v>166.11361793316669</v>
      </c>
      <c r="E668" s="122">
        <f t="shared" ref="E668:P668" si="205">E665+E667</f>
        <v>166.5419875717794</v>
      </c>
      <c r="F668" s="122">
        <f t="shared" si="205"/>
        <v>166.5419875717794</v>
      </c>
      <c r="G668" s="122">
        <f t="shared" si="205"/>
        <v>166.5419875717794</v>
      </c>
      <c r="H668" s="122">
        <f t="shared" si="205"/>
        <v>166.5419875717794</v>
      </c>
      <c r="I668" s="122">
        <f t="shared" si="205"/>
        <v>171.1122054034557</v>
      </c>
      <c r="J668" s="122">
        <f t="shared" si="205"/>
        <v>178.54747841651928</v>
      </c>
      <c r="K668" s="122">
        <f t="shared" si="205"/>
        <v>172.45850998195283</v>
      </c>
      <c r="L668" s="122">
        <f t="shared" si="205"/>
        <v>178.02731528391814</v>
      </c>
      <c r="M668" s="122">
        <f t="shared" si="205"/>
        <v>168.11361793316669</v>
      </c>
      <c r="N668" s="122">
        <f t="shared" si="205"/>
        <v>173.92720588576785</v>
      </c>
      <c r="O668" s="122">
        <f t="shared" si="205"/>
        <v>173.68242323513201</v>
      </c>
      <c r="P668" s="122">
        <f t="shared" si="205"/>
        <v>2048.1503243601969</v>
      </c>
    </row>
    <row r="669" spans="1:16" ht="14" thickTop="1" thickBot="1" x14ac:dyDescent="0.35">
      <c r="C669" s="128" t="s">
        <v>256</v>
      </c>
      <c r="D669" s="122">
        <f t="shared" ref="D669:P669" si="206">D668+D663</f>
        <v>171.52210126650002</v>
      </c>
      <c r="E669" s="122">
        <f t="shared" si="206"/>
        <v>171.95047090511272</v>
      </c>
      <c r="F669" s="122">
        <f t="shared" si="206"/>
        <v>171.95047090511272</v>
      </c>
      <c r="G669" s="122">
        <f t="shared" si="206"/>
        <v>171.95047090511272</v>
      </c>
      <c r="H669" s="122">
        <f t="shared" si="206"/>
        <v>171.95047090511272</v>
      </c>
      <c r="I669" s="122">
        <f t="shared" si="206"/>
        <v>176.52068873678903</v>
      </c>
      <c r="J669" s="122">
        <f t="shared" si="206"/>
        <v>183.95596174985261</v>
      </c>
      <c r="K669" s="122">
        <f t="shared" si="206"/>
        <v>177.86699331528615</v>
      </c>
      <c r="L669" s="122">
        <f t="shared" si="206"/>
        <v>183.43579861725146</v>
      </c>
      <c r="M669" s="122">
        <f t="shared" si="206"/>
        <v>173.52210126650002</v>
      </c>
      <c r="N669" s="122">
        <f t="shared" si="206"/>
        <v>179.33568921910117</v>
      </c>
      <c r="O669" s="122">
        <f t="shared" si="206"/>
        <v>179.09090656846533</v>
      </c>
      <c r="P669" s="122">
        <f t="shared" si="206"/>
        <v>2113.052124360197</v>
      </c>
    </row>
    <row r="670" spans="1:16" ht="13.5" thickTop="1" x14ac:dyDescent="0.3"/>
    <row r="672" spans="1:16" ht="13.5" thickBot="1" x14ac:dyDescent="0.35">
      <c r="C672" s="66" t="s">
        <v>259</v>
      </c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</row>
    <row r="673" spans="1:16" ht="13.5" customHeight="1" thickBot="1" x14ac:dyDescent="0.35">
      <c r="C673" s="23" t="s">
        <v>69</v>
      </c>
      <c r="D673" s="24" t="s">
        <v>70</v>
      </c>
      <c r="E673" s="24" t="s">
        <v>71</v>
      </c>
      <c r="F673" s="24" t="s">
        <v>72</v>
      </c>
      <c r="G673" s="24" t="s">
        <v>73</v>
      </c>
      <c r="H673" s="24" t="s">
        <v>74</v>
      </c>
      <c r="I673" s="24" t="s">
        <v>75</v>
      </c>
      <c r="J673" s="24" t="s">
        <v>76</v>
      </c>
      <c r="K673" s="24" t="s">
        <v>77</v>
      </c>
      <c r="L673" s="24" t="s">
        <v>78</v>
      </c>
      <c r="M673" s="24" t="s">
        <v>79</v>
      </c>
      <c r="N673" s="24" t="s">
        <v>80</v>
      </c>
      <c r="O673" s="24" t="s">
        <v>81</v>
      </c>
      <c r="P673" s="25" t="s">
        <v>110</v>
      </c>
    </row>
    <row r="674" spans="1:16" ht="13.5" thickBot="1" x14ac:dyDescent="0.35">
      <c r="C674" s="116" t="s">
        <v>247</v>
      </c>
      <c r="D674" s="117"/>
      <c r="E674" s="117"/>
      <c r="F674" s="117"/>
      <c r="G674" s="117"/>
      <c r="H674" s="117"/>
      <c r="I674" s="117"/>
      <c r="J674" s="117"/>
      <c r="K674" s="117"/>
      <c r="L674" s="117"/>
      <c r="M674" s="117"/>
      <c r="N674" s="117"/>
      <c r="O674" s="117"/>
      <c r="P674" s="117"/>
    </row>
    <row r="675" spans="1:16" x14ac:dyDescent="0.3">
      <c r="C675" s="86"/>
      <c r="D675" s="87"/>
      <c r="E675" s="88"/>
      <c r="F675" s="89"/>
      <c r="G675" s="89"/>
      <c r="H675" s="89"/>
      <c r="I675" s="89"/>
      <c r="J675" s="89"/>
      <c r="K675" s="89"/>
      <c r="L675" s="87"/>
      <c r="M675" s="89"/>
      <c r="N675" s="89"/>
      <c r="O675" s="89"/>
      <c r="P675" s="89"/>
    </row>
    <row r="676" spans="1:16" x14ac:dyDescent="0.3">
      <c r="C676" s="90" t="s">
        <v>147</v>
      </c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>
        <f t="shared" ref="P676:P678" si="207">D676+E676+F676+G676+H676+I676+J676+K676+L676+M676+N676+O676</f>
        <v>0</v>
      </c>
    </row>
    <row r="677" spans="1:16" x14ac:dyDescent="0.3">
      <c r="C677" s="33" t="s">
        <v>148</v>
      </c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>
        <f t="shared" si="207"/>
        <v>0</v>
      </c>
    </row>
    <row r="678" spans="1:16" x14ac:dyDescent="0.3">
      <c r="C678" s="90" t="s">
        <v>149</v>
      </c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>
        <f t="shared" si="207"/>
        <v>0</v>
      </c>
    </row>
    <row r="679" spans="1:16" ht="13.5" thickBot="1" x14ac:dyDescent="0.35">
      <c r="C679" s="90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</row>
    <row r="680" spans="1:16" ht="13.5" thickBot="1" x14ac:dyDescent="0.35">
      <c r="A680" s="20"/>
      <c r="B680" s="20"/>
      <c r="C680" s="92" t="s">
        <v>150</v>
      </c>
      <c r="D680" s="93">
        <f t="shared" ref="D680:P680" si="208">SUM(D676:D679)</f>
        <v>0</v>
      </c>
      <c r="E680" s="93">
        <f t="shared" si="208"/>
        <v>0</v>
      </c>
      <c r="F680" s="93">
        <f t="shared" si="208"/>
        <v>0</v>
      </c>
      <c r="G680" s="93">
        <f t="shared" si="208"/>
        <v>0</v>
      </c>
      <c r="H680" s="93">
        <f t="shared" si="208"/>
        <v>0</v>
      </c>
      <c r="I680" s="93">
        <f t="shared" si="208"/>
        <v>0</v>
      </c>
      <c r="J680" s="93">
        <f t="shared" si="208"/>
        <v>0</v>
      </c>
      <c r="K680" s="93">
        <f t="shared" si="208"/>
        <v>0</v>
      </c>
      <c r="L680" s="93">
        <f t="shared" si="208"/>
        <v>0</v>
      </c>
      <c r="M680" s="93">
        <f t="shared" si="208"/>
        <v>0</v>
      </c>
      <c r="N680" s="93">
        <f t="shared" si="208"/>
        <v>0</v>
      </c>
      <c r="O680" s="93">
        <f t="shared" si="208"/>
        <v>0</v>
      </c>
      <c r="P680" s="93">
        <f t="shared" si="208"/>
        <v>0</v>
      </c>
    </row>
    <row r="681" spans="1:16" x14ac:dyDescent="0.3">
      <c r="C681" s="94"/>
      <c r="D681" s="107"/>
      <c r="E681" s="107"/>
      <c r="F681" s="107"/>
      <c r="G681" s="107"/>
      <c r="H681" s="107"/>
      <c r="I681" s="107"/>
      <c r="J681" s="107"/>
      <c r="K681" s="107"/>
      <c r="L681" s="107"/>
      <c r="M681" s="107"/>
      <c r="N681" s="107"/>
      <c r="O681" s="107"/>
      <c r="P681" s="43"/>
    </row>
    <row r="682" spans="1:16" x14ac:dyDescent="0.3">
      <c r="C682" s="90" t="s">
        <v>151</v>
      </c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62">
        <f t="shared" ref="P682:P699" si="209">D682+E682+F682+G682+H682+I682+J682+K682+L682+M682+N682+O682</f>
        <v>0</v>
      </c>
    </row>
    <row r="683" spans="1:16" x14ac:dyDescent="0.3">
      <c r="C683" s="90" t="s">
        <v>152</v>
      </c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62">
        <f t="shared" si="209"/>
        <v>0</v>
      </c>
    </row>
    <row r="684" spans="1:16" x14ac:dyDescent="0.3">
      <c r="C684" s="90" t="s">
        <v>153</v>
      </c>
      <c r="D684" s="103">
        <f>[15]Sheet1!D679/1000000</f>
        <v>0</v>
      </c>
      <c r="E684" s="103">
        <f>[15]Sheet1!E679/1000000</f>
        <v>0</v>
      </c>
      <c r="F684" s="103">
        <f>[15]Sheet1!F679/1000000</f>
        <v>0</v>
      </c>
      <c r="G684" s="103">
        <f>[15]Sheet1!G679/1000000</f>
        <v>0</v>
      </c>
      <c r="H684" s="103">
        <f>[15]Sheet1!H679/1000000</f>
        <v>0</v>
      </c>
      <c r="I684" s="103">
        <f>[15]Sheet1!I679/1000000</f>
        <v>0</v>
      </c>
      <c r="J684" s="103">
        <f>[15]Sheet1!J679/1000000</f>
        <v>0</v>
      </c>
      <c r="K684" s="103">
        <f>[15]Sheet1!K679/1000000</f>
        <v>0</v>
      </c>
      <c r="L684" s="103">
        <f>[15]Sheet1!L679/1000000</f>
        <v>0</v>
      </c>
      <c r="M684" s="103">
        <f>[15]Sheet1!M679/1000000</f>
        <v>0</v>
      </c>
      <c r="N684" s="103">
        <f>[15]Sheet1!N679/1000000</f>
        <v>0</v>
      </c>
      <c r="O684" s="103">
        <f>[15]Sheet1!O679/1000000</f>
        <v>0</v>
      </c>
      <c r="P684" s="62">
        <f t="shared" si="209"/>
        <v>0</v>
      </c>
    </row>
    <row r="685" spans="1:16" x14ac:dyDescent="0.3">
      <c r="C685" s="90" t="s">
        <v>154</v>
      </c>
      <c r="D685" s="103">
        <f>[15]Sheet1!D680/1000000</f>
        <v>0</v>
      </c>
      <c r="E685" s="103">
        <f>[15]Sheet1!E680/1000000</f>
        <v>0</v>
      </c>
      <c r="F685" s="103">
        <f>[15]Sheet1!F680/1000000</f>
        <v>0</v>
      </c>
      <c r="G685" s="103">
        <f>[15]Sheet1!G680/1000000</f>
        <v>0</v>
      </c>
      <c r="H685" s="103">
        <f>[15]Sheet1!H680/1000000</f>
        <v>0</v>
      </c>
      <c r="I685" s="103">
        <f>[15]Sheet1!I680/1000000</f>
        <v>0</v>
      </c>
      <c r="J685" s="103">
        <f>[15]Sheet1!J680/1000000</f>
        <v>0</v>
      </c>
      <c r="K685" s="103">
        <f>[15]Sheet1!K680/1000000</f>
        <v>0</v>
      </c>
      <c r="L685" s="103">
        <f>[15]Sheet1!L680/1000000</f>
        <v>0</v>
      </c>
      <c r="M685" s="103">
        <f>[15]Sheet1!M680/1000000</f>
        <v>0</v>
      </c>
      <c r="N685" s="103">
        <f>[15]Sheet1!N680/1000000</f>
        <v>0</v>
      </c>
      <c r="O685" s="103">
        <f>[15]Sheet1!O680/1000000</f>
        <v>0</v>
      </c>
      <c r="P685" s="62">
        <f t="shared" si="209"/>
        <v>0</v>
      </c>
    </row>
    <row r="686" spans="1:16" x14ac:dyDescent="0.3">
      <c r="C686" s="90" t="s">
        <v>155</v>
      </c>
      <c r="D686" s="103">
        <f>[15]Sheet1!D681/1000000</f>
        <v>0</v>
      </c>
      <c r="E686" s="103">
        <f>[15]Sheet1!E681/1000000</f>
        <v>0</v>
      </c>
      <c r="F686" s="103">
        <f>[15]Sheet1!F681/1000000</f>
        <v>0</v>
      </c>
      <c r="G686" s="103">
        <f>[15]Sheet1!G681/1000000</f>
        <v>0</v>
      </c>
      <c r="H686" s="103">
        <f>[15]Sheet1!H681/1000000</f>
        <v>0</v>
      </c>
      <c r="I686" s="103">
        <f>[15]Sheet1!I681/1000000</f>
        <v>0</v>
      </c>
      <c r="J686" s="103">
        <f>[15]Sheet1!J681/1000000</f>
        <v>0</v>
      </c>
      <c r="K686" s="103">
        <f>[15]Sheet1!K681/1000000</f>
        <v>0</v>
      </c>
      <c r="L686" s="103">
        <f>[15]Sheet1!L681/1000000</f>
        <v>0</v>
      </c>
      <c r="M686" s="103">
        <f>[15]Sheet1!M681/1000000</f>
        <v>0</v>
      </c>
      <c r="N686" s="103">
        <f>[15]Sheet1!N681/1000000</f>
        <v>0</v>
      </c>
      <c r="O686" s="103">
        <f>[15]Sheet1!O681/1000000</f>
        <v>0</v>
      </c>
      <c r="P686" s="62">
        <f t="shared" si="209"/>
        <v>0</v>
      </c>
    </row>
    <row r="687" spans="1:16" x14ac:dyDescent="0.3">
      <c r="C687" s="90" t="s">
        <v>156</v>
      </c>
      <c r="D687" s="103">
        <f>[15]Sheet1!D682/1000000</f>
        <v>0</v>
      </c>
      <c r="E687" s="103">
        <f>[15]Sheet1!E682/1000000</f>
        <v>0</v>
      </c>
      <c r="F687" s="103">
        <f>[15]Sheet1!F682/1000000</f>
        <v>0</v>
      </c>
      <c r="G687" s="103">
        <f>[15]Sheet1!G682/1000000</f>
        <v>0</v>
      </c>
      <c r="H687" s="103">
        <f>[15]Sheet1!H682/1000000</f>
        <v>0</v>
      </c>
      <c r="I687" s="103">
        <f>[15]Sheet1!I682/1000000</f>
        <v>0</v>
      </c>
      <c r="J687" s="103">
        <f>[15]Sheet1!J682/1000000</f>
        <v>0</v>
      </c>
      <c r="K687" s="103">
        <f>[15]Sheet1!K682/1000000</f>
        <v>0</v>
      </c>
      <c r="L687" s="103">
        <f>[15]Sheet1!L682/1000000</f>
        <v>0</v>
      </c>
      <c r="M687" s="103">
        <f>[15]Sheet1!M682/1000000</f>
        <v>0</v>
      </c>
      <c r="N687" s="103">
        <f>[15]Sheet1!N682/1000000</f>
        <v>0</v>
      </c>
      <c r="O687" s="103">
        <f>[15]Sheet1!O682/1000000</f>
        <v>0</v>
      </c>
      <c r="P687" s="62">
        <f t="shared" si="209"/>
        <v>0</v>
      </c>
    </row>
    <row r="688" spans="1:16" x14ac:dyDescent="0.3">
      <c r="C688" s="90" t="s">
        <v>157</v>
      </c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62">
        <f t="shared" si="209"/>
        <v>0</v>
      </c>
    </row>
    <row r="689" spans="2:16" x14ac:dyDescent="0.3">
      <c r="B689" s="20"/>
      <c r="C689" s="90" t="s">
        <v>158</v>
      </c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62">
        <f t="shared" si="209"/>
        <v>0</v>
      </c>
    </row>
    <row r="690" spans="2:16" x14ac:dyDescent="0.3">
      <c r="C690" s="90" t="s">
        <v>159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62">
        <f t="shared" si="209"/>
        <v>0</v>
      </c>
    </row>
    <row r="691" spans="2:16" x14ac:dyDescent="0.3">
      <c r="C691" s="90" t="s">
        <v>160</v>
      </c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62">
        <f t="shared" si="209"/>
        <v>0</v>
      </c>
    </row>
    <row r="692" spans="2:16" x14ac:dyDescent="0.3">
      <c r="C692" s="90" t="s">
        <v>161</v>
      </c>
      <c r="D692" s="103">
        <f>'[13]Budget Depre'!E43/1000000</f>
        <v>0</v>
      </c>
      <c r="E692" s="103">
        <f>'[13]Budget Depre'!F43/1000000</f>
        <v>0</v>
      </c>
      <c r="F692" s="103">
        <f>'[13]Budget Depre'!G43/1000000</f>
        <v>0</v>
      </c>
      <c r="G692" s="103">
        <f>'[13]Budget Depre'!H43/1000000</f>
        <v>0</v>
      </c>
      <c r="H692" s="103">
        <f>'[13]Budget Depre'!I43/1000000</f>
        <v>0</v>
      </c>
      <c r="I692" s="103">
        <f>'[13]Budget Depre'!J43/1000000</f>
        <v>0</v>
      </c>
      <c r="J692" s="103">
        <f>'[13]Budget Depre'!K43/1000000</f>
        <v>0</v>
      </c>
      <c r="K692" s="103">
        <f>'[13]Budget Depre'!L43/1000000</f>
        <v>0</v>
      </c>
      <c r="L692" s="103">
        <f>'[13]Budget Depre'!M43/1000000</f>
        <v>0</v>
      </c>
      <c r="M692" s="103">
        <f>'[13]Budget Depre'!N43/1000000</f>
        <v>0</v>
      </c>
      <c r="N692" s="103">
        <f>'[13]Budget Depre'!O43/1000000</f>
        <v>0</v>
      </c>
      <c r="O692" s="103">
        <f>'[13]Budget Depre'!P43/1000000</f>
        <v>0</v>
      </c>
      <c r="P692" s="62">
        <f t="shared" si="209"/>
        <v>0</v>
      </c>
    </row>
    <row r="693" spans="2:16" x14ac:dyDescent="0.3">
      <c r="C693" s="90" t="s">
        <v>162</v>
      </c>
      <c r="D693" s="103">
        <f>'[13]Budget Depre'!E44/1000000</f>
        <v>36.695692000000001</v>
      </c>
      <c r="E693" s="103">
        <f>'[13]Budget Depre'!F44/1000000</f>
        <v>36.695692000000001</v>
      </c>
      <c r="F693" s="103">
        <f>'[13]Budget Depre'!G44/1000000</f>
        <v>36.695692000000001</v>
      </c>
      <c r="G693" s="103">
        <f>'[13]Budget Depre'!H44/1000000</f>
        <v>36.695692000000001</v>
      </c>
      <c r="H693" s="103">
        <f>'[13]Budget Depre'!I44/1000000</f>
        <v>36.695692000000001</v>
      </c>
      <c r="I693" s="103">
        <f>'[13]Budget Depre'!J44/1000000</f>
        <v>36.695692000000001</v>
      </c>
      <c r="J693" s="103">
        <f>'[13]Budget Depre'!K44/1000000</f>
        <v>36.695692000000001</v>
      </c>
      <c r="K693" s="103">
        <f>'[13]Budget Depre'!L44/1000000</f>
        <v>36.695692000000001</v>
      </c>
      <c r="L693" s="103">
        <f>'[13]Budget Depre'!M44/1000000</f>
        <v>36.695692000000001</v>
      </c>
      <c r="M693" s="103">
        <f>'[13]Budget Depre'!N44/1000000</f>
        <v>36.695692000000001</v>
      </c>
      <c r="N693" s="103">
        <f>'[13]Budget Depre'!O44/1000000</f>
        <v>36.695692000000001</v>
      </c>
      <c r="O693" s="103">
        <f>'[13]Budget Depre'!P44/1000000</f>
        <v>36.695692000000001</v>
      </c>
      <c r="P693" s="62">
        <f t="shared" si="209"/>
        <v>440.34830400000004</v>
      </c>
    </row>
    <row r="694" spans="2:16" x14ac:dyDescent="0.3">
      <c r="C694" s="90" t="s">
        <v>163</v>
      </c>
      <c r="D694" s="103">
        <f>'[13]Budget Depre'!E45/1000000</f>
        <v>65.002216000000004</v>
      </c>
      <c r="E694" s="103">
        <f>'[13]Budget Depre'!F45/1000000</f>
        <v>65.002216000000004</v>
      </c>
      <c r="F694" s="103">
        <f>'[13]Budget Depre'!G45/1000000</f>
        <v>65.002216000000004</v>
      </c>
      <c r="G694" s="103">
        <f>'[13]Budget Depre'!H45/1000000</f>
        <v>65.002216000000004</v>
      </c>
      <c r="H694" s="103">
        <f>'[13]Budget Depre'!I45/1000000</f>
        <v>65.002216000000004</v>
      </c>
      <c r="I694" s="103">
        <f>'[13]Budget Depre'!J45/1000000</f>
        <v>65.002216000000004</v>
      </c>
      <c r="J694" s="103">
        <f>'[13]Budget Depre'!K45/1000000</f>
        <v>65.002216000000004</v>
      </c>
      <c r="K694" s="103">
        <f>'[13]Budget Depre'!L45/1000000</f>
        <v>65.002216000000004</v>
      </c>
      <c r="L694" s="103">
        <f>'[13]Budget Depre'!M45/1000000</f>
        <v>65.002216000000004</v>
      </c>
      <c r="M694" s="103">
        <f>'[13]Budget Depre'!N45/1000000</f>
        <v>65.002216000000004</v>
      </c>
      <c r="N694" s="103">
        <f>'[13]Budget Depre'!O45/1000000</f>
        <v>65.002216000000004</v>
      </c>
      <c r="O694" s="103">
        <f>'[13]Budget Depre'!P45/1000000</f>
        <v>65.002216000000004</v>
      </c>
      <c r="P694" s="62">
        <f t="shared" si="209"/>
        <v>780.02659199999982</v>
      </c>
    </row>
    <row r="695" spans="2:16" x14ac:dyDescent="0.3">
      <c r="C695" s="90" t="s">
        <v>164</v>
      </c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62">
        <f t="shared" si="209"/>
        <v>0</v>
      </c>
    </row>
    <row r="696" spans="2:16" x14ac:dyDescent="0.3">
      <c r="C696" s="90" t="s">
        <v>165</v>
      </c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62">
        <f t="shared" si="209"/>
        <v>0</v>
      </c>
    </row>
    <row r="697" spans="2:16" x14ac:dyDescent="0.3">
      <c r="C697" s="90" t="s">
        <v>166</v>
      </c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62">
        <f t="shared" si="209"/>
        <v>0</v>
      </c>
    </row>
    <row r="698" spans="2:16" x14ac:dyDescent="0.3">
      <c r="C698" s="90" t="s">
        <v>167</v>
      </c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62">
        <f t="shared" si="209"/>
        <v>0</v>
      </c>
    </row>
    <row r="699" spans="2:16" ht="13.5" thickBot="1" x14ac:dyDescent="0.35">
      <c r="C699" s="90" t="s">
        <v>168</v>
      </c>
      <c r="D699" s="103">
        <f>[15]Sheet1!D677/1000000</f>
        <v>0</v>
      </c>
      <c r="E699" s="103">
        <f>[15]Sheet1!E677/1000000</f>
        <v>0</v>
      </c>
      <c r="F699" s="103">
        <f>[15]Sheet1!F677/1000000</f>
        <v>0</v>
      </c>
      <c r="G699" s="103">
        <f>[15]Sheet1!G677/1000000</f>
        <v>0</v>
      </c>
      <c r="H699" s="103">
        <f>[15]Sheet1!H677/1000000</f>
        <v>0</v>
      </c>
      <c r="I699" s="103">
        <f>[15]Sheet1!I677/1000000</f>
        <v>0</v>
      </c>
      <c r="J699" s="103">
        <f>[15]Sheet1!J677/1000000</f>
        <v>0</v>
      </c>
      <c r="K699" s="103">
        <f>[15]Sheet1!K677/1000000</f>
        <v>0</v>
      </c>
      <c r="L699" s="103">
        <f>[15]Sheet1!L677/1000000</f>
        <v>0</v>
      </c>
      <c r="M699" s="103">
        <f>[15]Sheet1!M677/1000000</f>
        <v>0</v>
      </c>
      <c r="N699" s="103">
        <f>[15]Sheet1!N677/1000000</f>
        <v>0</v>
      </c>
      <c r="O699" s="103">
        <f>[15]Sheet1!O677/1000000</f>
        <v>0</v>
      </c>
      <c r="P699" s="62">
        <f t="shared" si="209"/>
        <v>0</v>
      </c>
    </row>
    <row r="700" spans="2:16" ht="13.5" thickBot="1" x14ac:dyDescent="0.35">
      <c r="B700" s="20"/>
      <c r="C700" s="95" t="s">
        <v>169</v>
      </c>
      <c r="D700" s="93">
        <f t="shared" ref="D700:P700" si="210">SUM(D682:D699)</f>
        <v>101.69790800000001</v>
      </c>
      <c r="E700" s="93">
        <f t="shared" si="210"/>
        <v>101.69790800000001</v>
      </c>
      <c r="F700" s="93">
        <f t="shared" si="210"/>
        <v>101.69790800000001</v>
      </c>
      <c r="G700" s="93">
        <f t="shared" si="210"/>
        <v>101.69790800000001</v>
      </c>
      <c r="H700" s="93">
        <f t="shared" si="210"/>
        <v>101.69790800000001</v>
      </c>
      <c r="I700" s="93">
        <f t="shared" si="210"/>
        <v>101.69790800000001</v>
      </c>
      <c r="J700" s="93">
        <f t="shared" si="210"/>
        <v>101.69790800000001</v>
      </c>
      <c r="K700" s="93">
        <f t="shared" si="210"/>
        <v>101.69790800000001</v>
      </c>
      <c r="L700" s="93">
        <f t="shared" si="210"/>
        <v>101.69790800000001</v>
      </c>
      <c r="M700" s="93">
        <f t="shared" si="210"/>
        <v>101.69790800000001</v>
      </c>
      <c r="N700" s="93">
        <f t="shared" si="210"/>
        <v>101.69790800000001</v>
      </c>
      <c r="O700" s="93">
        <f t="shared" si="210"/>
        <v>101.69790800000001</v>
      </c>
      <c r="P700" s="93">
        <f t="shared" si="210"/>
        <v>1220.3748959999998</v>
      </c>
    </row>
    <row r="701" spans="2:16" x14ac:dyDescent="0.3">
      <c r="C701" s="90" t="s">
        <v>170</v>
      </c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>
        <f t="shared" ref="P701:P714" si="211">D701+E701+F701+G701+H701+I701+J701+K701+L701+M701+N701+O701</f>
        <v>0</v>
      </c>
    </row>
    <row r="702" spans="2:16" x14ac:dyDescent="0.3">
      <c r="C702" s="90" t="s">
        <v>171</v>
      </c>
      <c r="D702" s="62">
        <f>'[16]LEMBUR MO'!N13/1000000</f>
        <v>24.478265063583816</v>
      </c>
      <c r="E702" s="62">
        <f>'[16]LEMBUR MO'!O13/1000000</f>
        <v>24.478265063583816</v>
      </c>
      <c r="F702" s="62">
        <f>'[16]LEMBUR MO'!P13/1000000</f>
        <v>24.478265063583816</v>
      </c>
      <c r="G702" s="62">
        <f>'[16]LEMBUR MO'!Q13/1000000</f>
        <v>24.478265063583816</v>
      </c>
      <c r="H702" s="62">
        <f>'[16]LEMBUR MO'!R13/1000000</f>
        <v>24.478265063583816</v>
      </c>
      <c r="I702" s="62">
        <f>'[16]LEMBUR MO'!S13/1000000</f>
        <v>24.478265063583816</v>
      </c>
      <c r="J702" s="62">
        <f>'[16]LEMBUR MO'!T13/1000000</f>
        <v>24.478265063583816</v>
      </c>
      <c r="K702" s="62">
        <f>'[16]LEMBUR MO'!U13/1000000</f>
        <v>24.478265063583816</v>
      </c>
      <c r="L702" s="62">
        <f>'[16]LEMBUR MO'!V13/1000000</f>
        <v>24.478265063583816</v>
      </c>
      <c r="M702" s="62">
        <f>'[16]LEMBUR MO'!W13/1000000</f>
        <v>24.478265063583816</v>
      </c>
      <c r="N702" s="62">
        <f>'[16]LEMBUR MO'!X13/1000000</f>
        <v>24.478265063583816</v>
      </c>
      <c r="O702" s="62">
        <f>'[16]LEMBUR MO'!Y13/1000000</f>
        <v>24.478265063583816</v>
      </c>
      <c r="P702" s="62">
        <f t="shared" si="211"/>
        <v>293.73918076300578</v>
      </c>
    </row>
    <row r="703" spans="2:16" x14ac:dyDescent="0.3">
      <c r="C703" s="90" t="s">
        <v>172</v>
      </c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>
        <f t="shared" si="211"/>
        <v>0</v>
      </c>
    </row>
    <row r="704" spans="2:16" x14ac:dyDescent="0.3">
      <c r="C704" s="90" t="s">
        <v>173</v>
      </c>
      <c r="D704" s="62">
        <f>'[8]Budget Upah per cost center'!$C$20/1000000+(([7]Sheet3!$G$10+[7]Sheet3!$G$11)/1000000)</f>
        <v>216.95456199</v>
      </c>
      <c r="E704" s="62">
        <f>D704</f>
        <v>216.95456199</v>
      </c>
      <c r="F704" s="62">
        <f t="shared" ref="F704:O704" si="212">E704</f>
        <v>216.95456199</v>
      </c>
      <c r="G704" s="62">
        <f t="shared" si="212"/>
        <v>216.95456199</v>
      </c>
      <c r="H704" s="62">
        <f t="shared" si="212"/>
        <v>216.95456199</v>
      </c>
      <c r="I704" s="62">
        <f t="shared" si="212"/>
        <v>216.95456199</v>
      </c>
      <c r="J704" s="62">
        <f t="shared" si="212"/>
        <v>216.95456199</v>
      </c>
      <c r="K704" s="62">
        <f t="shared" si="212"/>
        <v>216.95456199</v>
      </c>
      <c r="L704" s="62">
        <f t="shared" si="212"/>
        <v>216.95456199</v>
      </c>
      <c r="M704" s="62">
        <f t="shared" si="212"/>
        <v>216.95456199</v>
      </c>
      <c r="N704" s="62">
        <f t="shared" si="212"/>
        <v>216.95456199</v>
      </c>
      <c r="O704" s="62">
        <f t="shared" si="212"/>
        <v>216.95456199</v>
      </c>
      <c r="P704" s="62">
        <f t="shared" si="211"/>
        <v>2603.45474388</v>
      </c>
    </row>
    <row r="705" spans="1:16" x14ac:dyDescent="0.3">
      <c r="C705" s="90" t="s">
        <v>174</v>
      </c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>
        <f t="shared" si="211"/>
        <v>0</v>
      </c>
    </row>
    <row r="706" spans="1:16" x14ac:dyDescent="0.3">
      <c r="C706" s="90" t="s">
        <v>175</v>
      </c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>
        <f t="shared" si="211"/>
        <v>0</v>
      </c>
    </row>
    <row r="707" spans="1:16" ht="13.5" thickBot="1" x14ac:dyDescent="0.35">
      <c r="C707" s="90" t="s">
        <v>176</v>
      </c>
      <c r="D707" s="62">
        <f>('[8]Budget Upah per cost center'!$D$20/12)/1000000+(([7]Sheet3!$H$10+[7]Sheet3!$H$11)/1000000)</f>
        <v>16.8457968325</v>
      </c>
      <c r="E707" s="62">
        <f>D707</f>
        <v>16.8457968325</v>
      </c>
      <c r="F707" s="62">
        <f t="shared" ref="F707:O707" si="213">E707</f>
        <v>16.8457968325</v>
      </c>
      <c r="G707" s="62">
        <f t="shared" si="213"/>
        <v>16.8457968325</v>
      </c>
      <c r="H707" s="62">
        <f t="shared" si="213"/>
        <v>16.8457968325</v>
      </c>
      <c r="I707" s="62">
        <f t="shared" si="213"/>
        <v>16.8457968325</v>
      </c>
      <c r="J707" s="62">
        <f t="shared" si="213"/>
        <v>16.8457968325</v>
      </c>
      <c r="K707" s="62">
        <f t="shared" si="213"/>
        <v>16.8457968325</v>
      </c>
      <c r="L707" s="62">
        <f t="shared" si="213"/>
        <v>16.8457968325</v>
      </c>
      <c r="M707" s="62">
        <f t="shared" si="213"/>
        <v>16.8457968325</v>
      </c>
      <c r="N707" s="62">
        <f t="shared" si="213"/>
        <v>16.8457968325</v>
      </c>
      <c r="O707" s="62">
        <f t="shared" si="213"/>
        <v>16.8457968325</v>
      </c>
      <c r="P707" s="62">
        <f t="shared" si="211"/>
        <v>202.14956199000005</v>
      </c>
    </row>
    <row r="708" spans="1:16" ht="13.5" thickBot="1" x14ac:dyDescent="0.35">
      <c r="B708" s="20"/>
      <c r="C708" s="97" t="s">
        <v>177</v>
      </c>
      <c r="D708" s="98">
        <f t="shared" ref="D708:O708" si="214">SUM(D701:D707)</f>
        <v>258.27862388608384</v>
      </c>
      <c r="E708" s="98">
        <f t="shared" si="214"/>
        <v>258.27862388608384</v>
      </c>
      <c r="F708" s="98">
        <f t="shared" si="214"/>
        <v>258.27862388608384</v>
      </c>
      <c r="G708" s="98">
        <f t="shared" si="214"/>
        <v>258.27862388608384</v>
      </c>
      <c r="H708" s="98">
        <f t="shared" si="214"/>
        <v>258.27862388608384</v>
      </c>
      <c r="I708" s="98">
        <f t="shared" si="214"/>
        <v>258.27862388608384</v>
      </c>
      <c r="J708" s="98">
        <f t="shared" si="214"/>
        <v>258.27862388608384</v>
      </c>
      <c r="K708" s="98">
        <f t="shared" si="214"/>
        <v>258.27862388608384</v>
      </c>
      <c r="L708" s="98">
        <f t="shared" si="214"/>
        <v>258.27862388608384</v>
      </c>
      <c r="M708" s="98">
        <f t="shared" si="214"/>
        <v>258.27862388608384</v>
      </c>
      <c r="N708" s="98">
        <f t="shared" si="214"/>
        <v>258.27862388608384</v>
      </c>
      <c r="O708" s="98">
        <f t="shared" si="214"/>
        <v>258.27862388608384</v>
      </c>
      <c r="P708" s="98">
        <f t="shared" si="211"/>
        <v>3099.3434866330067</v>
      </c>
    </row>
    <row r="709" spans="1:16" x14ac:dyDescent="0.3">
      <c r="B709" s="20"/>
      <c r="C709" s="90" t="s">
        <v>178</v>
      </c>
      <c r="D709" s="62">
        <f>([7]Sheet3!$N$10+[7]Sheet3!$N$11)/1000000</f>
        <v>3.3163606662499996</v>
      </c>
      <c r="E709" s="62">
        <f>D709</f>
        <v>3.3163606662499996</v>
      </c>
      <c r="F709" s="62">
        <f t="shared" ref="F709:O709" si="215">E709</f>
        <v>3.3163606662499996</v>
      </c>
      <c r="G709" s="62">
        <f t="shared" si="215"/>
        <v>3.3163606662499996</v>
      </c>
      <c r="H709" s="62">
        <f t="shared" si="215"/>
        <v>3.3163606662499996</v>
      </c>
      <c r="I709" s="62">
        <f t="shared" si="215"/>
        <v>3.3163606662499996</v>
      </c>
      <c r="J709" s="62">
        <f t="shared" si="215"/>
        <v>3.3163606662499996</v>
      </c>
      <c r="K709" s="62">
        <f t="shared" si="215"/>
        <v>3.3163606662499996</v>
      </c>
      <c r="L709" s="62">
        <f t="shared" si="215"/>
        <v>3.3163606662499996</v>
      </c>
      <c r="M709" s="62">
        <f t="shared" si="215"/>
        <v>3.3163606662499996</v>
      </c>
      <c r="N709" s="62">
        <f t="shared" si="215"/>
        <v>3.3163606662499996</v>
      </c>
      <c r="O709" s="62">
        <f t="shared" si="215"/>
        <v>3.3163606662499996</v>
      </c>
      <c r="P709" s="62">
        <f t="shared" si="211"/>
        <v>39.796327994999992</v>
      </c>
    </row>
    <row r="710" spans="1:16" x14ac:dyDescent="0.3">
      <c r="B710" s="20"/>
      <c r="C710" s="90" t="s">
        <v>179</v>
      </c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>
        <f t="shared" si="211"/>
        <v>0</v>
      </c>
    </row>
    <row r="711" spans="1:16" x14ac:dyDescent="0.3">
      <c r="B711" s="20"/>
      <c r="C711" s="90" t="s">
        <v>180</v>
      </c>
      <c r="D711" s="62">
        <f>('[9]Budget Benefit per cost center'!$E$20+'[9]Budget Benefit per cost center'!$F$20+'[9]Budget Benefit per cost center'!$G$20)/1000000+(([7]Sheet3!$I$10+[7]Sheet3!$I$11+[7]Sheet3!$M$10+[7]Sheet3!$M$11)/1000000)</f>
        <v>21.709632228999997</v>
      </c>
      <c r="E711" s="62">
        <f>D711</f>
        <v>21.709632228999997</v>
      </c>
      <c r="F711" s="62">
        <f t="shared" ref="F711:O711" si="216">E711</f>
        <v>21.709632228999997</v>
      </c>
      <c r="G711" s="62">
        <f t="shared" si="216"/>
        <v>21.709632228999997</v>
      </c>
      <c r="H711" s="62">
        <f t="shared" si="216"/>
        <v>21.709632228999997</v>
      </c>
      <c r="I711" s="62">
        <f t="shared" si="216"/>
        <v>21.709632228999997</v>
      </c>
      <c r="J711" s="62">
        <f t="shared" si="216"/>
        <v>21.709632228999997</v>
      </c>
      <c r="K711" s="62">
        <f t="shared" si="216"/>
        <v>21.709632228999997</v>
      </c>
      <c r="L711" s="62">
        <f t="shared" si="216"/>
        <v>21.709632228999997</v>
      </c>
      <c r="M711" s="62">
        <f t="shared" si="216"/>
        <v>21.709632228999997</v>
      </c>
      <c r="N711" s="62">
        <f t="shared" si="216"/>
        <v>21.709632228999997</v>
      </c>
      <c r="O711" s="62">
        <f t="shared" si="216"/>
        <v>21.709632228999997</v>
      </c>
      <c r="P711" s="62">
        <f t="shared" si="211"/>
        <v>260.51558674799998</v>
      </c>
    </row>
    <row r="712" spans="1:16" x14ac:dyDescent="0.3">
      <c r="B712" s="20"/>
      <c r="C712" s="90" t="s">
        <v>181</v>
      </c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>
        <f t="shared" si="211"/>
        <v>0</v>
      </c>
    </row>
    <row r="713" spans="1:16" x14ac:dyDescent="0.3">
      <c r="B713" s="20"/>
      <c r="C713" s="90" t="s">
        <v>182</v>
      </c>
      <c r="D713" s="62">
        <f>('[9]Budget Benefit per cost center'!$C$20+('[9]Budget Benefit per cost center'!$D$20/12))/1000000+(([7]Sheet3!$J$10+[7]Sheet3!$J$11+[7]Sheet3!$K$10+[7]Sheet3!$K$11)/1000000)</f>
        <v>7.9387249999999998</v>
      </c>
      <c r="E713" s="62">
        <f>D713</f>
        <v>7.9387249999999998</v>
      </c>
      <c r="F713" s="62">
        <f t="shared" ref="F713:O713" si="217">E713</f>
        <v>7.9387249999999998</v>
      </c>
      <c r="G713" s="62">
        <f t="shared" si="217"/>
        <v>7.9387249999999998</v>
      </c>
      <c r="H713" s="62">
        <f t="shared" si="217"/>
        <v>7.9387249999999998</v>
      </c>
      <c r="I713" s="62">
        <f t="shared" si="217"/>
        <v>7.9387249999999998</v>
      </c>
      <c r="J713" s="62">
        <f t="shared" si="217"/>
        <v>7.9387249999999998</v>
      </c>
      <c r="K713" s="62">
        <f t="shared" si="217"/>
        <v>7.9387249999999998</v>
      </c>
      <c r="L713" s="62">
        <f t="shared" si="217"/>
        <v>7.9387249999999998</v>
      </c>
      <c r="M713" s="62">
        <f t="shared" si="217"/>
        <v>7.9387249999999998</v>
      </c>
      <c r="N713" s="62">
        <f t="shared" si="217"/>
        <v>7.9387249999999998</v>
      </c>
      <c r="O713" s="62">
        <f t="shared" si="217"/>
        <v>7.9387249999999998</v>
      </c>
      <c r="P713" s="62">
        <f t="shared" si="211"/>
        <v>95.264700000000005</v>
      </c>
    </row>
    <row r="714" spans="1:16" ht="13.5" thickBot="1" x14ac:dyDescent="0.35">
      <c r="A714" s="20"/>
      <c r="B714" s="20"/>
      <c r="C714" s="99" t="s">
        <v>183</v>
      </c>
      <c r="D714" s="100">
        <f t="shared" ref="D714:O714" si="218">SUM(D709:D713)</f>
        <v>32.964717895249997</v>
      </c>
      <c r="E714" s="100">
        <f t="shared" si="218"/>
        <v>32.964717895249997</v>
      </c>
      <c r="F714" s="100">
        <f t="shared" si="218"/>
        <v>32.964717895249997</v>
      </c>
      <c r="G714" s="100">
        <f t="shared" si="218"/>
        <v>32.964717895249997</v>
      </c>
      <c r="H714" s="100">
        <f t="shared" si="218"/>
        <v>32.964717895249997</v>
      </c>
      <c r="I714" s="100">
        <f t="shared" si="218"/>
        <v>32.964717895249997</v>
      </c>
      <c r="J714" s="100">
        <f t="shared" si="218"/>
        <v>32.964717895249997</v>
      </c>
      <c r="K714" s="100">
        <f t="shared" si="218"/>
        <v>32.964717895249997</v>
      </c>
      <c r="L714" s="100">
        <f t="shared" si="218"/>
        <v>32.964717895249997</v>
      </c>
      <c r="M714" s="100">
        <f t="shared" si="218"/>
        <v>32.964717895249997</v>
      </c>
      <c r="N714" s="100">
        <f t="shared" si="218"/>
        <v>32.964717895249997</v>
      </c>
      <c r="O714" s="100">
        <f t="shared" si="218"/>
        <v>32.964717895249997</v>
      </c>
      <c r="P714" s="100">
        <f t="shared" si="211"/>
        <v>395.57661474299988</v>
      </c>
    </row>
    <row r="715" spans="1:16" ht="13.5" thickBot="1" x14ac:dyDescent="0.35">
      <c r="A715" s="20"/>
      <c r="B715" s="20"/>
      <c r="C715" s="92" t="s">
        <v>184</v>
      </c>
      <c r="D715" s="93">
        <f t="shared" ref="D715:P715" si="219">D680+D700+D708+D714</f>
        <v>392.94124978133385</v>
      </c>
      <c r="E715" s="93">
        <f t="shared" si="219"/>
        <v>392.94124978133385</v>
      </c>
      <c r="F715" s="93">
        <f t="shared" si="219"/>
        <v>392.94124978133385</v>
      </c>
      <c r="G715" s="93">
        <f t="shared" si="219"/>
        <v>392.94124978133385</v>
      </c>
      <c r="H715" s="93">
        <f t="shared" si="219"/>
        <v>392.94124978133385</v>
      </c>
      <c r="I715" s="93">
        <f t="shared" si="219"/>
        <v>392.94124978133385</v>
      </c>
      <c r="J715" s="93">
        <f t="shared" si="219"/>
        <v>392.94124978133385</v>
      </c>
      <c r="K715" s="93">
        <f t="shared" si="219"/>
        <v>392.94124978133385</v>
      </c>
      <c r="L715" s="93">
        <f t="shared" si="219"/>
        <v>392.94124978133385</v>
      </c>
      <c r="M715" s="93">
        <f t="shared" si="219"/>
        <v>392.94124978133385</v>
      </c>
      <c r="N715" s="93">
        <f t="shared" si="219"/>
        <v>392.94124978133385</v>
      </c>
      <c r="O715" s="93">
        <f t="shared" si="219"/>
        <v>392.94124978133385</v>
      </c>
      <c r="P715" s="93">
        <f t="shared" si="219"/>
        <v>4715.294997376006</v>
      </c>
    </row>
    <row r="716" spans="1:16" ht="13.5" thickBot="1" x14ac:dyDescent="0.35">
      <c r="C716" s="118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</row>
    <row r="717" spans="1:16" ht="13.5" thickBot="1" x14ac:dyDescent="0.35">
      <c r="C717" s="119"/>
      <c r="D717" s="120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</row>
    <row r="718" spans="1:16" ht="14" thickTop="1" thickBot="1" x14ac:dyDescent="0.35">
      <c r="C718" s="127" t="s">
        <v>248</v>
      </c>
      <c r="D718" s="122">
        <f>D715+D717</f>
        <v>392.94124978133385</v>
      </c>
      <c r="E718" s="122">
        <f t="shared" ref="E718:P718" si="220">E715+E717</f>
        <v>392.94124978133385</v>
      </c>
      <c r="F718" s="122">
        <f t="shared" si="220"/>
        <v>392.94124978133385</v>
      </c>
      <c r="G718" s="122">
        <f t="shared" si="220"/>
        <v>392.94124978133385</v>
      </c>
      <c r="H718" s="122">
        <f t="shared" si="220"/>
        <v>392.94124978133385</v>
      </c>
      <c r="I718" s="122">
        <f t="shared" si="220"/>
        <v>392.94124978133385</v>
      </c>
      <c r="J718" s="122">
        <f t="shared" si="220"/>
        <v>392.94124978133385</v>
      </c>
      <c r="K718" s="122">
        <f t="shared" si="220"/>
        <v>392.94124978133385</v>
      </c>
      <c r="L718" s="122">
        <f t="shared" si="220"/>
        <v>392.94124978133385</v>
      </c>
      <c r="M718" s="122">
        <f t="shared" si="220"/>
        <v>392.94124978133385</v>
      </c>
      <c r="N718" s="122">
        <f t="shared" si="220"/>
        <v>392.94124978133385</v>
      </c>
      <c r="O718" s="122">
        <f t="shared" si="220"/>
        <v>392.94124978133385</v>
      </c>
      <c r="P718" s="122">
        <f t="shared" si="220"/>
        <v>4715.294997376006</v>
      </c>
    </row>
    <row r="719" spans="1:16" ht="14" thickTop="1" thickBot="1" x14ac:dyDescent="0.35">
      <c r="C719" s="128" t="s">
        <v>256</v>
      </c>
      <c r="D719" s="122">
        <f t="shared" ref="D719:P719" si="221">D718+D713</f>
        <v>400.87997478133383</v>
      </c>
      <c r="E719" s="122">
        <f t="shared" si="221"/>
        <v>400.87997478133383</v>
      </c>
      <c r="F719" s="122">
        <f t="shared" si="221"/>
        <v>400.87997478133383</v>
      </c>
      <c r="G719" s="122">
        <f t="shared" si="221"/>
        <v>400.87997478133383</v>
      </c>
      <c r="H719" s="122">
        <f t="shared" si="221"/>
        <v>400.87997478133383</v>
      </c>
      <c r="I719" s="122">
        <f t="shared" si="221"/>
        <v>400.87997478133383</v>
      </c>
      <c r="J719" s="122">
        <f t="shared" si="221"/>
        <v>400.87997478133383</v>
      </c>
      <c r="K719" s="122">
        <f t="shared" si="221"/>
        <v>400.87997478133383</v>
      </c>
      <c r="L719" s="122">
        <f t="shared" si="221"/>
        <v>400.87997478133383</v>
      </c>
      <c r="M719" s="122">
        <f t="shared" si="221"/>
        <v>400.87997478133383</v>
      </c>
      <c r="N719" s="122">
        <f t="shared" si="221"/>
        <v>400.87997478133383</v>
      </c>
      <c r="O719" s="122">
        <f t="shared" si="221"/>
        <v>400.87997478133383</v>
      </c>
      <c r="P719" s="122">
        <f t="shared" si="221"/>
        <v>4810.5596973760057</v>
      </c>
    </row>
    <row r="720" spans="1:16" ht="13.5" thickTop="1" x14ac:dyDescent="0.3"/>
    <row r="722" spans="1:16" ht="13.5" thickBot="1" x14ac:dyDescent="0.35">
      <c r="C722" s="66" t="s">
        <v>260</v>
      </c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</row>
    <row r="723" spans="1:16" ht="13.5" customHeight="1" thickBot="1" x14ac:dyDescent="0.35">
      <c r="C723" s="23" t="s">
        <v>69</v>
      </c>
      <c r="D723" s="24" t="s">
        <v>70</v>
      </c>
      <c r="E723" s="24" t="s">
        <v>71</v>
      </c>
      <c r="F723" s="24" t="s">
        <v>72</v>
      </c>
      <c r="G723" s="24" t="s">
        <v>73</v>
      </c>
      <c r="H723" s="24" t="s">
        <v>74</v>
      </c>
      <c r="I723" s="24" t="s">
        <v>75</v>
      </c>
      <c r="J723" s="24" t="s">
        <v>76</v>
      </c>
      <c r="K723" s="24" t="s">
        <v>77</v>
      </c>
      <c r="L723" s="24" t="s">
        <v>78</v>
      </c>
      <c r="M723" s="24" t="s">
        <v>79</v>
      </c>
      <c r="N723" s="24" t="s">
        <v>80</v>
      </c>
      <c r="O723" s="24" t="s">
        <v>81</v>
      </c>
      <c r="P723" s="25" t="s">
        <v>110</v>
      </c>
    </row>
    <row r="724" spans="1:16" ht="13.5" thickBot="1" x14ac:dyDescent="0.35">
      <c r="C724" s="116" t="s">
        <v>247</v>
      </c>
      <c r="D724" s="117"/>
      <c r="E724" s="117"/>
      <c r="F724" s="117"/>
      <c r="G724" s="117"/>
      <c r="H724" s="117"/>
      <c r="I724" s="117"/>
      <c r="J724" s="117"/>
      <c r="K724" s="117"/>
      <c r="L724" s="117"/>
      <c r="M724" s="117"/>
      <c r="N724" s="117"/>
      <c r="O724" s="117"/>
      <c r="P724" s="117"/>
    </row>
    <row r="725" spans="1:16" x14ac:dyDescent="0.3">
      <c r="C725" s="86"/>
      <c r="D725" s="87"/>
      <c r="E725" s="88"/>
      <c r="F725" s="89"/>
      <c r="G725" s="89"/>
      <c r="H725" s="89"/>
      <c r="I725" s="89"/>
      <c r="J725" s="89"/>
      <c r="K725" s="89"/>
      <c r="L725" s="87"/>
      <c r="M725" s="89"/>
      <c r="N725" s="89"/>
      <c r="O725" s="89"/>
      <c r="P725" s="89"/>
    </row>
    <row r="726" spans="1:16" x14ac:dyDescent="0.3">
      <c r="C726" s="90" t="s">
        <v>147</v>
      </c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>
        <f t="shared" ref="P726:P728" si="222">D726+E726+F726+G726+H726+I726+J726+K726+L726+M726+N726+O726</f>
        <v>0</v>
      </c>
    </row>
    <row r="727" spans="1:16" x14ac:dyDescent="0.3">
      <c r="C727" s="33" t="s">
        <v>148</v>
      </c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>
        <f t="shared" si="222"/>
        <v>0</v>
      </c>
    </row>
    <row r="728" spans="1:16" x14ac:dyDescent="0.3">
      <c r="C728" s="90" t="s">
        <v>149</v>
      </c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>
        <f t="shared" si="222"/>
        <v>0</v>
      </c>
    </row>
    <row r="729" spans="1:16" ht="13.5" thickBot="1" x14ac:dyDescent="0.35">
      <c r="C729" s="90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</row>
    <row r="730" spans="1:16" ht="13.5" thickBot="1" x14ac:dyDescent="0.35">
      <c r="A730" s="20"/>
      <c r="B730" s="20"/>
      <c r="C730" s="92" t="s">
        <v>150</v>
      </c>
      <c r="D730" s="93">
        <f t="shared" ref="D730:P730" si="223">SUM(D726:D729)</f>
        <v>0</v>
      </c>
      <c r="E730" s="93">
        <f t="shared" si="223"/>
        <v>0</v>
      </c>
      <c r="F730" s="93">
        <f t="shared" si="223"/>
        <v>0</v>
      </c>
      <c r="G730" s="93">
        <f t="shared" si="223"/>
        <v>0</v>
      </c>
      <c r="H730" s="93">
        <f t="shared" si="223"/>
        <v>0</v>
      </c>
      <c r="I730" s="93">
        <f t="shared" si="223"/>
        <v>0</v>
      </c>
      <c r="J730" s="93">
        <f t="shared" si="223"/>
        <v>0</v>
      </c>
      <c r="K730" s="93">
        <f t="shared" si="223"/>
        <v>0</v>
      </c>
      <c r="L730" s="93">
        <f t="shared" si="223"/>
        <v>0</v>
      </c>
      <c r="M730" s="93">
        <f t="shared" si="223"/>
        <v>0</v>
      </c>
      <c r="N730" s="93">
        <f t="shared" si="223"/>
        <v>0</v>
      </c>
      <c r="O730" s="93">
        <f t="shared" si="223"/>
        <v>0</v>
      </c>
      <c r="P730" s="93">
        <f t="shared" si="223"/>
        <v>0</v>
      </c>
    </row>
    <row r="731" spans="1:16" x14ac:dyDescent="0.3">
      <c r="C731" s="94"/>
      <c r="D731" s="107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43"/>
    </row>
    <row r="732" spans="1:16" x14ac:dyDescent="0.3">
      <c r="C732" s="90" t="s">
        <v>151</v>
      </c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62">
        <f t="shared" ref="P732:P749" si="224">D732+E732+F732+G732+H732+I732+J732+K732+L732+M732+N732+O732</f>
        <v>0</v>
      </c>
    </row>
    <row r="733" spans="1:16" x14ac:dyDescent="0.3">
      <c r="C733" s="90" t="s">
        <v>152</v>
      </c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62">
        <f t="shared" si="224"/>
        <v>0</v>
      </c>
    </row>
    <row r="734" spans="1:16" x14ac:dyDescent="0.3">
      <c r="C734" s="90" t="s">
        <v>153</v>
      </c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62">
        <f t="shared" si="224"/>
        <v>0</v>
      </c>
    </row>
    <row r="735" spans="1:16" x14ac:dyDescent="0.3">
      <c r="C735" s="90" t="s">
        <v>154</v>
      </c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62">
        <f t="shared" si="224"/>
        <v>0</v>
      </c>
    </row>
    <row r="736" spans="1:16" x14ac:dyDescent="0.3">
      <c r="C736" s="90" t="s">
        <v>155</v>
      </c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62">
        <f t="shared" si="224"/>
        <v>0</v>
      </c>
    </row>
    <row r="737" spans="2:16" x14ac:dyDescent="0.3">
      <c r="C737" s="90" t="s">
        <v>156</v>
      </c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62">
        <f t="shared" si="224"/>
        <v>0</v>
      </c>
    </row>
    <row r="738" spans="2:16" x14ac:dyDescent="0.3">
      <c r="C738" s="90" t="s">
        <v>157</v>
      </c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62">
        <f t="shared" si="224"/>
        <v>0</v>
      </c>
    </row>
    <row r="739" spans="2:16" x14ac:dyDescent="0.3">
      <c r="B739" s="20"/>
      <c r="C739" s="90" t="s">
        <v>158</v>
      </c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62">
        <f t="shared" si="224"/>
        <v>0</v>
      </c>
    </row>
    <row r="740" spans="2:16" x14ac:dyDescent="0.3">
      <c r="C740" s="90" t="s">
        <v>159</v>
      </c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62">
        <f t="shared" si="224"/>
        <v>0</v>
      </c>
    </row>
    <row r="741" spans="2:16" x14ac:dyDescent="0.3">
      <c r="C741" s="90" t="s">
        <v>160</v>
      </c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62">
        <f t="shared" si="224"/>
        <v>0</v>
      </c>
    </row>
    <row r="742" spans="2:16" x14ac:dyDescent="0.3">
      <c r="C742" s="90" t="s">
        <v>161</v>
      </c>
      <c r="D742" s="103">
        <f>'[13]Budget Depre'!E47/1000000</f>
        <v>82.218266999999997</v>
      </c>
      <c r="E742" s="103">
        <f>'[13]Budget Depre'!F47/1000000</f>
        <v>82.218266999999997</v>
      </c>
      <c r="F742" s="103">
        <f>'[13]Budget Depre'!G47/1000000</f>
        <v>82.218266999999997</v>
      </c>
      <c r="G742" s="103">
        <f>'[13]Budget Depre'!H47/1000000</f>
        <v>82.218266999999997</v>
      </c>
      <c r="H742" s="103">
        <f>'[13]Budget Depre'!I47/1000000</f>
        <v>82.218266999999997</v>
      </c>
      <c r="I742" s="103">
        <f>'[13]Budget Depre'!J47/1000000</f>
        <v>82.218266999999997</v>
      </c>
      <c r="J742" s="103">
        <f>'[13]Budget Depre'!K47/1000000</f>
        <v>82.218266999999997</v>
      </c>
      <c r="K742" s="103">
        <f>'[13]Budget Depre'!L47/1000000</f>
        <v>82.218266999999997</v>
      </c>
      <c r="L742" s="103">
        <f>'[13]Budget Depre'!M47/1000000</f>
        <v>82.218266999999997</v>
      </c>
      <c r="M742" s="103">
        <f>'[13]Budget Depre'!N47/1000000</f>
        <v>82.218266999999997</v>
      </c>
      <c r="N742" s="103">
        <f>'[13]Budget Depre'!O47/1000000</f>
        <v>82.218266999999997</v>
      </c>
      <c r="O742" s="103">
        <f>'[13]Budget Depre'!P47/1000000</f>
        <v>82.218266999999997</v>
      </c>
      <c r="P742" s="62">
        <f t="shared" si="224"/>
        <v>986.61920399999974</v>
      </c>
    </row>
    <row r="743" spans="2:16" x14ac:dyDescent="0.3">
      <c r="C743" s="90" t="s">
        <v>162</v>
      </c>
      <c r="D743" s="103">
        <f>'[13]Budget Depre'!E48/1000000</f>
        <v>0</v>
      </c>
      <c r="E743" s="103">
        <f>'[13]Budget Depre'!F48/1000000</f>
        <v>0</v>
      </c>
      <c r="F743" s="103">
        <f>'[13]Budget Depre'!G48/1000000</f>
        <v>0</v>
      </c>
      <c r="G743" s="103">
        <f>'[13]Budget Depre'!H48/1000000</f>
        <v>0</v>
      </c>
      <c r="H743" s="103">
        <f>'[13]Budget Depre'!I48/1000000</f>
        <v>0</v>
      </c>
      <c r="I743" s="103">
        <f>'[13]Budget Depre'!J48/1000000</f>
        <v>0</v>
      </c>
      <c r="J743" s="103">
        <f>'[13]Budget Depre'!K48/1000000</f>
        <v>0</v>
      </c>
      <c r="K743" s="103">
        <f>'[13]Budget Depre'!L48/1000000</f>
        <v>0</v>
      </c>
      <c r="L743" s="103">
        <f>'[13]Budget Depre'!M48/1000000</f>
        <v>0</v>
      </c>
      <c r="M743" s="103">
        <f>'[13]Budget Depre'!N48/1000000</f>
        <v>0</v>
      </c>
      <c r="N743" s="103">
        <f>'[13]Budget Depre'!O48/1000000</f>
        <v>0</v>
      </c>
      <c r="O743" s="103">
        <f>'[13]Budget Depre'!P48/1000000</f>
        <v>0</v>
      </c>
      <c r="P743" s="62">
        <f t="shared" si="224"/>
        <v>0</v>
      </c>
    </row>
    <row r="744" spans="2:16" x14ac:dyDescent="0.3">
      <c r="C744" s="90" t="s">
        <v>163</v>
      </c>
      <c r="D744" s="103">
        <f>'[13]Budget Depre'!E49/1000000</f>
        <v>0.66466599999999998</v>
      </c>
      <c r="E744" s="103">
        <f>'[13]Budget Depre'!F49/1000000</f>
        <v>0.66466599999999998</v>
      </c>
      <c r="F744" s="103">
        <f>'[13]Budget Depre'!G49/1000000</f>
        <v>0.66466599999999998</v>
      </c>
      <c r="G744" s="103">
        <f>'[13]Budget Depre'!H49/1000000</f>
        <v>0.66466599999999998</v>
      </c>
      <c r="H744" s="103">
        <f>'[13]Budget Depre'!I49/1000000</f>
        <v>0.66466599999999998</v>
      </c>
      <c r="I744" s="103">
        <f>'[13]Budget Depre'!J49/1000000</f>
        <v>0.66466599999999998</v>
      </c>
      <c r="J744" s="103">
        <f>'[13]Budget Depre'!K49/1000000</f>
        <v>0.66466599999999998</v>
      </c>
      <c r="K744" s="103">
        <f>'[13]Budget Depre'!L49/1000000</f>
        <v>0.66466599999999998</v>
      </c>
      <c r="L744" s="103">
        <f>'[13]Budget Depre'!M49/1000000</f>
        <v>0.66466599999999998</v>
      </c>
      <c r="M744" s="103">
        <f>'[13]Budget Depre'!N49/1000000</f>
        <v>0.66466599999999998</v>
      </c>
      <c r="N744" s="103">
        <f>'[13]Budget Depre'!O49/1000000</f>
        <v>0.66466599999999998</v>
      </c>
      <c r="O744" s="103">
        <f>'[13]Budget Depre'!P49/1000000</f>
        <v>0.66466599999999998</v>
      </c>
      <c r="P744" s="62">
        <f t="shared" si="224"/>
        <v>7.9759920000000015</v>
      </c>
    </row>
    <row r="745" spans="2:16" x14ac:dyDescent="0.3">
      <c r="C745" s="90" t="s">
        <v>164</v>
      </c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62">
        <f t="shared" si="224"/>
        <v>0</v>
      </c>
    </row>
    <row r="746" spans="2:16" x14ac:dyDescent="0.3">
      <c r="C746" s="90" t="s">
        <v>165</v>
      </c>
      <c r="D746" s="103">
        <f>[19]Sheet1!$G$28/1000000</f>
        <v>46.478653663333333</v>
      </c>
      <c r="E746" s="103">
        <f>D746</f>
        <v>46.478653663333333</v>
      </c>
      <c r="F746" s="103">
        <f t="shared" ref="F746:O746" si="225">E746</f>
        <v>46.478653663333333</v>
      </c>
      <c r="G746" s="103">
        <f t="shared" si="225"/>
        <v>46.478653663333333</v>
      </c>
      <c r="H746" s="103">
        <f t="shared" si="225"/>
        <v>46.478653663333333</v>
      </c>
      <c r="I746" s="103">
        <f t="shared" si="225"/>
        <v>46.478653663333333</v>
      </c>
      <c r="J746" s="103">
        <f t="shared" si="225"/>
        <v>46.478653663333333</v>
      </c>
      <c r="K746" s="103">
        <f t="shared" si="225"/>
        <v>46.478653663333333</v>
      </c>
      <c r="L746" s="103">
        <f t="shared" si="225"/>
        <v>46.478653663333333</v>
      </c>
      <c r="M746" s="103">
        <f t="shared" si="225"/>
        <v>46.478653663333333</v>
      </c>
      <c r="N746" s="103">
        <f t="shared" si="225"/>
        <v>46.478653663333333</v>
      </c>
      <c r="O746" s="103">
        <f t="shared" si="225"/>
        <v>46.478653663333333</v>
      </c>
      <c r="P746" s="62">
        <f t="shared" si="224"/>
        <v>557.74384395999994</v>
      </c>
    </row>
    <row r="747" spans="2:16" x14ac:dyDescent="0.3">
      <c r="C747" s="90" t="s">
        <v>166</v>
      </c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62">
        <f t="shared" si="224"/>
        <v>0</v>
      </c>
    </row>
    <row r="748" spans="2:16" x14ac:dyDescent="0.3">
      <c r="C748" s="90" t="s">
        <v>167</v>
      </c>
      <c r="D748" s="103">
        <f>[11]Sheet4!C12/1000000</f>
        <v>169.7244802748348</v>
      </c>
      <c r="E748" s="103">
        <f>[11]Sheet4!D12/1000000</f>
        <v>178.42279439131309</v>
      </c>
      <c r="F748" s="103">
        <f>[11]Sheet4!E12/1000000</f>
        <v>183.03104648938779</v>
      </c>
      <c r="G748" s="103">
        <f>[11]Sheet4!F12/1000000</f>
        <v>145.19386966136938</v>
      </c>
      <c r="H748" s="103">
        <f>[11]Sheet4!G12/1000000</f>
        <v>196.72280984444828</v>
      </c>
      <c r="I748" s="103">
        <f>[11]Sheet4!H12/1000000</f>
        <v>203.22814460113719</v>
      </c>
      <c r="J748" s="103">
        <f>[11]Sheet4!I12/1000000</f>
        <v>228.99896922388348</v>
      </c>
      <c r="K748" s="103">
        <f>[11]Sheet4!J12/1000000</f>
        <v>223.62641759956765</v>
      </c>
      <c r="L748" s="103">
        <f>[11]Sheet4!K12/1000000</f>
        <v>228.26721366943801</v>
      </c>
      <c r="M748" s="103">
        <f>[11]Sheet4!L12/1000000</f>
        <v>264.21754034551145</v>
      </c>
      <c r="N748" s="103">
        <f>[11]Sheet4!M12/1000000</f>
        <v>233.25094793551997</v>
      </c>
      <c r="O748" s="103">
        <f>[11]Sheet4!N12/1000000</f>
        <v>217.11568280312309</v>
      </c>
      <c r="P748" s="62">
        <f t="shared" si="224"/>
        <v>2471.7999168395345</v>
      </c>
    </row>
    <row r="749" spans="2:16" ht="13.5" thickBot="1" x14ac:dyDescent="0.35">
      <c r="C749" s="90" t="s">
        <v>168</v>
      </c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62">
        <f t="shared" si="224"/>
        <v>0</v>
      </c>
    </row>
    <row r="750" spans="2:16" ht="13.5" thickBot="1" x14ac:dyDescent="0.35">
      <c r="B750" s="20"/>
      <c r="C750" s="95" t="s">
        <v>169</v>
      </c>
      <c r="D750" s="93">
        <f t="shared" ref="D750:P750" si="226">SUM(D732:D749)</f>
        <v>299.08606693816813</v>
      </c>
      <c r="E750" s="93">
        <f t="shared" si="226"/>
        <v>307.78438105464642</v>
      </c>
      <c r="F750" s="93">
        <f t="shared" si="226"/>
        <v>312.39263315272115</v>
      </c>
      <c r="G750" s="93">
        <f t="shared" si="226"/>
        <v>274.55545632470273</v>
      </c>
      <c r="H750" s="93">
        <f t="shared" si="226"/>
        <v>326.08439650778161</v>
      </c>
      <c r="I750" s="93">
        <f t="shared" si="226"/>
        <v>332.58973126447052</v>
      </c>
      <c r="J750" s="93">
        <f t="shared" si="226"/>
        <v>358.36055588721683</v>
      </c>
      <c r="K750" s="93">
        <f t="shared" si="226"/>
        <v>352.98800426290097</v>
      </c>
      <c r="L750" s="93">
        <f t="shared" si="226"/>
        <v>357.62880033277133</v>
      </c>
      <c r="M750" s="93">
        <f t="shared" si="226"/>
        <v>393.57912700884481</v>
      </c>
      <c r="N750" s="93">
        <f t="shared" si="226"/>
        <v>362.6125345988533</v>
      </c>
      <c r="O750" s="93">
        <f t="shared" si="226"/>
        <v>346.47726946645639</v>
      </c>
      <c r="P750" s="93">
        <f t="shared" si="226"/>
        <v>4024.1389567995343</v>
      </c>
    </row>
    <row r="751" spans="2:16" x14ac:dyDescent="0.3">
      <c r="C751" s="90" t="s">
        <v>170</v>
      </c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>
        <f t="shared" ref="P751:P764" si="227">D751+E751+F751+G751+H751+I751+J751+K751+L751+M751+N751+O751</f>
        <v>0</v>
      </c>
    </row>
    <row r="752" spans="2:16" x14ac:dyDescent="0.3">
      <c r="C752" s="90" t="s">
        <v>171</v>
      </c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>
        <f t="shared" si="227"/>
        <v>0</v>
      </c>
    </row>
    <row r="753" spans="1:16" x14ac:dyDescent="0.3">
      <c r="C753" s="90" t="s">
        <v>172</v>
      </c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>
        <f t="shared" si="227"/>
        <v>0</v>
      </c>
    </row>
    <row r="754" spans="1:16" x14ac:dyDescent="0.3">
      <c r="C754" s="90" t="s">
        <v>173</v>
      </c>
      <c r="D754" s="62">
        <f>'[8]Budget Upah per cost center'!$C$21/1000000+([7]Sheet3!$G$9/1000000)</f>
        <v>65.323285330000004</v>
      </c>
      <c r="E754" s="62">
        <f>D754</f>
        <v>65.323285330000004</v>
      </c>
      <c r="F754" s="62">
        <f t="shared" ref="F754:O754" si="228">E754</f>
        <v>65.323285330000004</v>
      </c>
      <c r="G754" s="62">
        <f t="shared" si="228"/>
        <v>65.323285330000004</v>
      </c>
      <c r="H754" s="62">
        <f t="shared" si="228"/>
        <v>65.323285330000004</v>
      </c>
      <c r="I754" s="62">
        <f t="shared" si="228"/>
        <v>65.323285330000004</v>
      </c>
      <c r="J754" s="62">
        <f t="shared" si="228"/>
        <v>65.323285330000004</v>
      </c>
      <c r="K754" s="62">
        <f t="shared" si="228"/>
        <v>65.323285330000004</v>
      </c>
      <c r="L754" s="62">
        <f t="shared" si="228"/>
        <v>65.323285330000004</v>
      </c>
      <c r="M754" s="62">
        <f t="shared" si="228"/>
        <v>65.323285330000004</v>
      </c>
      <c r="N754" s="62">
        <f t="shared" si="228"/>
        <v>65.323285330000004</v>
      </c>
      <c r="O754" s="62">
        <f t="shared" si="228"/>
        <v>65.323285330000004</v>
      </c>
      <c r="P754" s="62">
        <f t="shared" si="227"/>
        <v>783.87942395999983</v>
      </c>
    </row>
    <row r="755" spans="1:16" x14ac:dyDescent="0.3">
      <c r="C755" s="90" t="s">
        <v>174</v>
      </c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>
        <f t="shared" si="227"/>
        <v>0</v>
      </c>
    </row>
    <row r="756" spans="1:16" x14ac:dyDescent="0.3">
      <c r="C756" s="90" t="s">
        <v>175</v>
      </c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>
        <f t="shared" si="227"/>
        <v>0</v>
      </c>
    </row>
    <row r="757" spans="1:16" ht="13.5" thickBot="1" x14ac:dyDescent="0.35">
      <c r="C757" s="90" t="s">
        <v>176</v>
      </c>
      <c r="D757" s="62">
        <f>('[8]Budget Upah per cost center'!$D$21/12)/1000000+([7]Sheet3!$H$9/1000000)</f>
        <v>4.8836071108333332</v>
      </c>
      <c r="E757" s="62">
        <f>D757</f>
        <v>4.8836071108333332</v>
      </c>
      <c r="F757" s="62">
        <f t="shared" ref="F757:O757" si="229">E757</f>
        <v>4.8836071108333332</v>
      </c>
      <c r="G757" s="62">
        <f t="shared" si="229"/>
        <v>4.8836071108333332</v>
      </c>
      <c r="H757" s="62">
        <f t="shared" si="229"/>
        <v>4.8836071108333332</v>
      </c>
      <c r="I757" s="62">
        <f t="shared" si="229"/>
        <v>4.8836071108333332</v>
      </c>
      <c r="J757" s="62">
        <f t="shared" si="229"/>
        <v>4.8836071108333332</v>
      </c>
      <c r="K757" s="62">
        <f t="shared" si="229"/>
        <v>4.8836071108333332</v>
      </c>
      <c r="L757" s="62">
        <f t="shared" si="229"/>
        <v>4.8836071108333332</v>
      </c>
      <c r="M757" s="62">
        <f t="shared" si="229"/>
        <v>4.8836071108333332</v>
      </c>
      <c r="N757" s="62">
        <f t="shared" si="229"/>
        <v>4.8836071108333332</v>
      </c>
      <c r="O757" s="62">
        <f t="shared" si="229"/>
        <v>4.8836071108333332</v>
      </c>
      <c r="P757" s="62">
        <f t="shared" si="227"/>
        <v>58.603285329999984</v>
      </c>
    </row>
    <row r="758" spans="1:16" ht="13.5" thickBot="1" x14ac:dyDescent="0.35">
      <c r="B758" s="20"/>
      <c r="C758" s="97" t="s">
        <v>177</v>
      </c>
      <c r="D758" s="98">
        <f t="shared" ref="D758:O758" si="230">SUM(D751:D757)</f>
        <v>70.206892440833343</v>
      </c>
      <c r="E758" s="98">
        <f t="shared" si="230"/>
        <v>70.206892440833343</v>
      </c>
      <c r="F758" s="98">
        <f t="shared" si="230"/>
        <v>70.206892440833343</v>
      </c>
      <c r="G758" s="98">
        <f t="shared" si="230"/>
        <v>70.206892440833343</v>
      </c>
      <c r="H758" s="98">
        <f t="shared" si="230"/>
        <v>70.206892440833343</v>
      </c>
      <c r="I758" s="98">
        <f t="shared" si="230"/>
        <v>70.206892440833343</v>
      </c>
      <c r="J758" s="98">
        <f t="shared" si="230"/>
        <v>70.206892440833343</v>
      </c>
      <c r="K758" s="98">
        <f t="shared" si="230"/>
        <v>70.206892440833343</v>
      </c>
      <c r="L758" s="98">
        <f t="shared" si="230"/>
        <v>70.206892440833343</v>
      </c>
      <c r="M758" s="98">
        <f t="shared" si="230"/>
        <v>70.206892440833343</v>
      </c>
      <c r="N758" s="98">
        <f t="shared" si="230"/>
        <v>70.206892440833343</v>
      </c>
      <c r="O758" s="98">
        <f t="shared" si="230"/>
        <v>70.206892440833343</v>
      </c>
      <c r="P758" s="98">
        <f t="shared" si="227"/>
        <v>842.48270929000034</v>
      </c>
    </row>
    <row r="759" spans="1:16" x14ac:dyDescent="0.3">
      <c r="B759" s="20"/>
      <c r="C759" s="90" t="s">
        <v>178</v>
      </c>
      <c r="D759" s="62">
        <f>[7]Sheet3!$N$9/1000000</f>
        <v>1.3408702220833335</v>
      </c>
      <c r="E759" s="62">
        <f>D759</f>
        <v>1.3408702220833335</v>
      </c>
      <c r="F759" s="62">
        <f t="shared" ref="F759:O759" si="231">E759</f>
        <v>1.3408702220833335</v>
      </c>
      <c r="G759" s="62">
        <f t="shared" si="231"/>
        <v>1.3408702220833335</v>
      </c>
      <c r="H759" s="62">
        <f t="shared" si="231"/>
        <v>1.3408702220833335</v>
      </c>
      <c r="I759" s="62">
        <f t="shared" si="231"/>
        <v>1.3408702220833335</v>
      </c>
      <c r="J759" s="62">
        <f t="shared" si="231"/>
        <v>1.3408702220833335</v>
      </c>
      <c r="K759" s="62">
        <f t="shared" si="231"/>
        <v>1.3408702220833335</v>
      </c>
      <c r="L759" s="62">
        <f t="shared" si="231"/>
        <v>1.3408702220833335</v>
      </c>
      <c r="M759" s="62">
        <f t="shared" si="231"/>
        <v>1.3408702220833335</v>
      </c>
      <c r="N759" s="62">
        <f t="shared" si="231"/>
        <v>1.3408702220833335</v>
      </c>
      <c r="O759" s="62">
        <f t="shared" si="231"/>
        <v>1.3408702220833335</v>
      </c>
      <c r="P759" s="62">
        <f t="shared" si="227"/>
        <v>16.090442665000001</v>
      </c>
    </row>
    <row r="760" spans="1:16" x14ac:dyDescent="0.3">
      <c r="B760" s="20"/>
      <c r="C760" s="90" t="s">
        <v>179</v>
      </c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>
        <f t="shared" si="227"/>
        <v>0</v>
      </c>
    </row>
    <row r="761" spans="1:16" x14ac:dyDescent="0.3">
      <c r="B761" s="20"/>
      <c r="C761" s="90" t="s">
        <v>180</v>
      </c>
      <c r="D761" s="62">
        <f>([7]Sheet3!$I$9+[7]Sheet3!$M$9)/1000000</f>
        <v>1.1312529250000001</v>
      </c>
      <c r="E761" s="62">
        <f>D761</f>
        <v>1.1312529250000001</v>
      </c>
      <c r="F761" s="62">
        <f t="shared" ref="F761:O763" si="232">E761</f>
        <v>1.1312529250000001</v>
      </c>
      <c r="G761" s="62">
        <f t="shared" si="232"/>
        <v>1.1312529250000001</v>
      </c>
      <c r="H761" s="62">
        <f t="shared" si="232"/>
        <v>1.1312529250000001</v>
      </c>
      <c r="I761" s="62">
        <f t="shared" si="232"/>
        <v>1.1312529250000001</v>
      </c>
      <c r="J761" s="62">
        <f t="shared" si="232"/>
        <v>1.1312529250000001</v>
      </c>
      <c r="K761" s="62">
        <f t="shared" si="232"/>
        <v>1.1312529250000001</v>
      </c>
      <c r="L761" s="62">
        <f t="shared" si="232"/>
        <v>1.1312529250000001</v>
      </c>
      <c r="M761" s="62">
        <f t="shared" si="232"/>
        <v>1.1312529250000001</v>
      </c>
      <c r="N761" s="62">
        <f t="shared" si="232"/>
        <v>1.1312529250000001</v>
      </c>
      <c r="O761" s="62">
        <f t="shared" si="232"/>
        <v>1.1312529250000001</v>
      </c>
      <c r="P761" s="62">
        <f t="shared" si="227"/>
        <v>13.575035100000001</v>
      </c>
    </row>
    <row r="762" spans="1:16" x14ac:dyDescent="0.3">
      <c r="B762" s="20"/>
      <c r="C762" s="90" t="s">
        <v>181</v>
      </c>
      <c r="D762" s="62">
        <f>[7]Sheet3!$L$9/1000000</f>
        <v>1.9308531197999999</v>
      </c>
      <c r="E762" s="62">
        <f>D762</f>
        <v>1.9308531197999999</v>
      </c>
      <c r="F762" s="62">
        <f t="shared" si="232"/>
        <v>1.9308531197999999</v>
      </c>
      <c r="G762" s="62">
        <f t="shared" si="232"/>
        <v>1.9308531197999999</v>
      </c>
      <c r="H762" s="62">
        <f t="shared" si="232"/>
        <v>1.9308531197999999</v>
      </c>
      <c r="I762" s="62">
        <f t="shared" si="232"/>
        <v>1.9308531197999999</v>
      </c>
      <c r="J762" s="62">
        <f t="shared" si="232"/>
        <v>1.9308531197999999</v>
      </c>
      <c r="K762" s="62">
        <f t="shared" si="232"/>
        <v>1.9308531197999999</v>
      </c>
      <c r="L762" s="62">
        <f t="shared" si="232"/>
        <v>1.9308531197999999</v>
      </c>
      <c r="M762" s="62">
        <f t="shared" si="232"/>
        <v>1.9308531197999999</v>
      </c>
      <c r="N762" s="62">
        <f t="shared" si="232"/>
        <v>1.9308531197999999</v>
      </c>
      <c r="O762" s="62">
        <f t="shared" si="232"/>
        <v>1.9308531197999999</v>
      </c>
      <c r="P762" s="62">
        <f t="shared" si="227"/>
        <v>23.170237437599994</v>
      </c>
    </row>
    <row r="763" spans="1:16" x14ac:dyDescent="0.3">
      <c r="B763" s="20"/>
      <c r="C763" s="90" t="s">
        <v>182</v>
      </c>
      <c r="D763" s="62">
        <f>([7]Sheet3!$J$9+[7]Sheet3!$K$9)/1000000</f>
        <v>0.61763749999999995</v>
      </c>
      <c r="E763" s="62">
        <f>D763</f>
        <v>0.61763749999999995</v>
      </c>
      <c r="F763" s="62">
        <f t="shared" si="232"/>
        <v>0.61763749999999995</v>
      </c>
      <c r="G763" s="62">
        <f t="shared" si="232"/>
        <v>0.61763749999999995</v>
      </c>
      <c r="H763" s="62">
        <f t="shared" si="232"/>
        <v>0.61763749999999995</v>
      </c>
      <c r="I763" s="62">
        <f t="shared" si="232"/>
        <v>0.61763749999999995</v>
      </c>
      <c r="J763" s="62">
        <f t="shared" si="232"/>
        <v>0.61763749999999995</v>
      </c>
      <c r="K763" s="62">
        <f t="shared" si="232"/>
        <v>0.61763749999999995</v>
      </c>
      <c r="L763" s="62">
        <f t="shared" si="232"/>
        <v>0.61763749999999995</v>
      </c>
      <c r="M763" s="62">
        <f t="shared" si="232"/>
        <v>0.61763749999999995</v>
      </c>
      <c r="N763" s="62">
        <f t="shared" si="232"/>
        <v>0.61763749999999995</v>
      </c>
      <c r="O763" s="62">
        <f t="shared" si="232"/>
        <v>0.61763749999999995</v>
      </c>
      <c r="P763" s="62">
        <f t="shared" si="227"/>
        <v>7.411649999999999</v>
      </c>
    </row>
    <row r="764" spans="1:16" ht="13.5" thickBot="1" x14ac:dyDescent="0.35">
      <c r="A764" s="20"/>
      <c r="B764" s="20"/>
      <c r="C764" s="99" t="s">
        <v>183</v>
      </c>
      <c r="D764" s="100">
        <f t="shared" ref="D764:O764" si="233">SUM(D759:D763)</f>
        <v>5.0206137668833337</v>
      </c>
      <c r="E764" s="100">
        <f t="shared" si="233"/>
        <v>5.0206137668833337</v>
      </c>
      <c r="F764" s="100">
        <f t="shared" si="233"/>
        <v>5.0206137668833337</v>
      </c>
      <c r="G764" s="100">
        <f t="shared" si="233"/>
        <v>5.0206137668833337</v>
      </c>
      <c r="H764" s="100">
        <f t="shared" si="233"/>
        <v>5.0206137668833337</v>
      </c>
      <c r="I764" s="100">
        <f t="shared" si="233"/>
        <v>5.0206137668833337</v>
      </c>
      <c r="J764" s="100">
        <f t="shared" si="233"/>
        <v>5.0206137668833337</v>
      </c>
      <c r="K764" s="100">
        <f t="shared" si="233"/>
        <v>5.0206137668833337</v>
      </c>
      <c r="L764" s="100">
        <f t="shared" si="233"/>
        <v>5.0206137668833337</v>
      </c>
      <c r="M764" s="100">
        <f t="shared" si="233"/>
        <v>5.0206137668833337</v>
      </c>
      <c r="N764" s="100">
        <f t="shared" si="233"/>
        <v>5.0206137668833337</v>
      </c>
      <c r="O764" s="100">
        <f t="shared" si="233"/>
        <v>5.0206137668833337</v>
      </c>
      <c r="P764" s="100">
        <f t="shared" si="227"/>
        <v>60.247365202600015</v>
      </c>
    </row>
    <row r="765" spans="1:16" ht="13.5" thickBot="1" x14ac:dyDescent="0.35">
      <c r="A765" s="20"/>
      <c r="B765" s="20"/>
      <c r="C765" s="92" t="s">
        <v>184</v>
      </c>
      <c r="D765" s="93">
        <f t="shared" ref="D765:P765" si="234">D730+D750+D758+D764</f>
        <v>374.31357314588479</v>
      </c>
      <c r="E765" s="93">
        <f t="shared" si="234"/>
        <v>383.01188726236308</v>
      </c>
      <c r="F765" s="93">
        <f t="shared" si="234"/>
        <v>387.62013936043786</v>
      </c>
      <c r="G765" s="93">
        <f t="shared" si="234"/>
        <v>349.78296253241945</v>
      </c>
      <c r="H765" s="93">
        <f t="shared" si="234"/>
        <v>401.31190271549826</v>
      </c>
      <c r="I765" s="93">
        <f t="shared" si="234"/>
        <v>407.81723747218723</v>
      </c>
      <c r="J765" s="93">
        <f t="shared" si="234"/>
        <v>433.58806209493355</v>
      </c>
      <c r="K765" s="93">
        <f t="shared" si="234"/>
        <v>428.21551047061769</v>
      </c>
      <c r="L765" s="93">
        <f t="shared" si="234"/>
        <v>432.85630654048805</v>
      </c>
      <c r="M765" s="93">
        <f t="shared" si="234"/>
        <v>468.80663321656152</v>
      </c>
      <c r="N765" s="93">
        <f t="shared" si="234"/>
        <v>437.84004080656996</v>
      </c>
      <c r="O765" s="93">
        <f t="shared" si="234"/>
        <v>421.70477567417311</v>
      </c>
      <c r="P765" s="93">
        <f t="shared" si="234"/>
        <v>4926.8690312921344</v>
      </c>
    </row>
    <row r="766" spans="1:16" ht="13.5" thickBot="1" x14ac:dyDescent="0.35">
      <c r="C766" s="118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</row>
    <row r="767" spans="1:16" ht="13.5" thickBot="1" x14ac:dyDescent="0.35">
      <c r="C767" s="119"/>
      <c r="D767" s="120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</row>
    <row r="768" spans="1:16" ht="14" thickTop="1" thickBot="1" x14ac:dyDescent="0.35">
      <c r="C768" s="127" t="s">
        <v>248</v>
      </c>
      <c r="D768" s="122">
        <f>D765+D767</f>
        <v>374.31357314588479</v>
      </c>
      <c r="E768" s="122">
        <f t="shared" ref="E768:P768" si="235">E765+E767</f>
        <v>383.01188726236308</v>
      </c>
      <c r="F768" s="122">
        <f t="shared" si="235"/>
        <v>387.62013936043786</v>
      </c>
      <c r="G768" s="122">
        <f t="shared" si="235"/>
        <v>349.78296253241945</v>
      </c>
      <c r="H768" s="122">
        <f t="shared" si="235"/>
        <v>401.31190271549826</v>
      </c>
      <c r="I768" s="122">
        <f t="shared" si="235"/>
        <v>407.81723747218723</v>
      </c>
      <c r="J768" s="122">
        <f t="shared" si="235"/>
        <v>433.58806209493355</v>
      </c>
      <c r="K768" s="122">
        <f t="shared" si="235"/>
        <v>428.21551047061769</v>
      </c>
      <c r="L768" s="122">
        <f t="shared" si="235"/>
        <v>432.85630654048805</v>
      </c>
      <c r="M768" s="122">
        <f t="shared" si="235"/>
        <v>468.80663321656152</v>
      </c>
      <c r="N768" s="122">
        <f t="shared" si="235"/>
        <v>437.84004080656996</v>
      </c>
      <c r="O768" s="122">
        <f t="shared" si="235"/>
        <v>421.70477567417311</v>
      </c>
      <c r="P768" s="122">
        <f t="shared" si="235"/>
        <v>4926.8690312921344</v>
      </c>
    </row>
    <row r="769" spans="1:16" ht="14" thickTop="1" thickBot="1" x14ac:dyDescent="0.35">
      <c r="C769" s="128" t="s">
        <v>256</v>
      </c>
      <c r="D769" s="122">
        <f t="shared" ref="D769:P769" si="236">D768+D763</f>
        <v>374.93121064588479</v>
      </c>
      <c r="E769" s="122">
        <f t="shared" si="236"/>
        <v>383.62952476236308</v>
      </c>
      <c r="F769" s="122">
        <f t="shared" si="236"/>
        <v>388.23777686043786</v>
      </c>
      <c r="G769" s="122">
        <f t="shared" si="236"/>
        <v>350.40060003241945</v>
      </c>
      <c r="H769" s="122">
        <f t="shared" si="236"/>
        <v>401.92954021549826</v>
      </c>
      <c r="I769" s="122">
        <f t="shared" si="236"/>
        <v>408.43487497218723</v>
      </c>
      <c r="J769" s="122">
        <f t="shared" si="236"/>
        <v>434.20569959493355</v>
      </c>
      <c r="K769" s="122">
        <f t="shared" si="236"/>
        <v>428.83314797061769</v>
      </c>
      <c r="L769" s="122">
        <f t="shared" si="236"/>
        <v>433.47394404048805</v>
      </c>
      <c r="M769" s="122">
        <f t="shared" si="236"/>
        <v>469.42427071656152</v>
      </c>
      <c r="N769" s="122">
        <f t="shared" si="236"/>
        <v>438.45767830656996</v>
      </c>
      <c r="O769" s="122">
        <f t="shared" si="236"/>
        <v>422.32241317417311</v>
      </c>
      <c r="P769" s="122">
        <f t="shared" si="236"/>
        <v>4934.2806812921344</v>
      </c>
    </row>
    <row r="770" spans="1:16" ht="13.5" thickTop="1" x14ac:dyDescent="0.3"/>
    <row r="772" spans="1:16" ht="13.5" thickBot="1" x14ac:dyDescent="0.35">
      <c r="C772" s="66" t="s">
        <v>261</v>
      </c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</row>
    <row r="773" spans="1:16" ht="13.5" customHeight="1" thickBot="1" x14ac:dyDescent="0.35">
      <c r="C773" s="23" t="s">
        <v>69</v>
      </c>
      <c r="D773" s="24" t="s">
        <v>70</v>
      </c>
      <c r="E773" s="24" t="s">
        <v>71</v>
      </c>
      <c r="F773" s="24" t="s">
        <v>72</v>
      </c>
      <c r="G773" s="24" t="s">
        <v>73</v>
      </c>
      <c r="H773" s="24" t="s">
        <v>74</v>
      </c>
      <c r="I773" s="24" t="s">
        <v>75</v>
      </c>
      <c r="J773" s="24" t="s">
        <v>76</v>
      </c>
      <c r="K773" s="24" t="s">
        <v>77</v>
      </c>
      <c r="L773" s="24" t="s">
        <v>78</v>
      </c>
      <c r="M773" s="24" t="s">
        <v>79</v>
      </c>
      <c r="N773" s="24" t="s">
        <v>80</v>
      </c>
      <c r="O773" s="24" t="s">
        <v>81</v>
      </c>
      <c r="P773" s="25" t="s">
        <v>110</v>
      </c>
    </row>
    <row r="774" spans="1:16" ht="13.5" thickBot="1" x14ac:dyDescent="0.35">
      <c r="C774" s="116" t="s">
        <v>247</v>
      </c>
      <c r="D774" s="117"/>
      <c r="E774" s="117"/>
      <c r="F774" s="117"/>
      <c r="G774" s="117"/>
      <c r="H774" s="117"/>
      <c r="I774" s="117"/>
      <c r="J774" s="117"/>
      <c r="K774" s="117"/>
      <c r="L774" s="117"/>
      <c r="M774" s="117"/>
      <c r="N774" s="117"/>
      <c r="O774" s="117"/>
      <c r="P774" s="117"/>
    </row>
    <row r="775" spans="1:16" x14ac:dyDescent="0.3">
      <c r="C775" s="86"/>
      <c r="D775" s="87"/>
      <c r="E775" s="88"/>
      <c r="F775" s="89"/>
      <c r="G775" s="89"/>
      <c r="H775" s="89"/>
      <c r="I775" s="89"/>
      <c r="J775" s="89"/>
      <c r="K775" s="89"/>
      <c r="L775" s="87"/>
      <c r="M775" s="89"/>
      <c r="N775" s="89"/>
      <c r="O775" s="89"/>
      <c r="P775" s="89"/>
    </row>
    <row r="776" spans="1:16" x14ac:dyDescent="0.3">
      <c r="C776" s="90" t="s">
        <v>147</v>
      </c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>
        <f t="shared" ref="P776:P778" si="237">D776+E776+F776+G776+H776+I776+J776+K776+L776+M776+N776+O776</f>
        <v>0</v>
      </c>
    </row>
    <row r="777" spans="1:16" x14ac:dyDescent="0.3">
      <c r="C777" s="33" t="s">
        <v>148</v>
      </c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>
        <f t="shared" si="237"/>
        <v>0</v>
      </c>
    </row>
    <row r="778" spans="1:16" x14ac:dyDescent="0.3">
      <c r="C778" s="90" t="s">
        <v>149</v>
      </c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>
        <f t="shared" si="237"/>
        <v>0</v>
      </c>
    </row>
    <row r="779" spans="1:16" ht="13.5" thickBot="1" x14ac:dyDescent="0.35">
      <c r="C779" s="90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</row>
    <row r="780" spans="1:16" ht="13.5" thickBot="1" x14ac:dyDescent="0.35">
      <c r="A780" s="20"/>
      <c r="B780" s="20"/>
      <c r="C780" s="92" t="s">
        <v>150</v>
      </c>
      <c r="D780" s="93">
        <f t="shared" ref="D780:P780" si="238">SUM(D776:D779)</f>
        <v>0</v>
      </c>
      <c r="E780" s="93">
        <f t="shared" si="238"/>
        <v>0</v>
      </c>
      <c r="F780" s="93">
        <f t="shared" si="238"/>
        <v>0</v>
      </c>
      <c r="G780" s="93">
        <f t="shared" si="238"/>
        <v>0</v>
      </c>
      <c r="H780" s="93">
        <f t="shared" si="238"/>
        <v>0</v>
      </c>
      <c r="I780" s="93">
        <f t="shared" si="238"/>
        <v>0</v>
      </c>
      <c r="J780" s="93">
        <f t="shared" si="238"/>
        <v>0</v>
      </c>
      <c r="K780" s="93">
        <f t="shared" si="238"/>
        <v>0</v>
      </c>
      <c r="L780" s="93">
        <f t="shared" si="238"/>
        <v>0</v>
      </c>
      <c r="M780" s="93">
        <f t="shared" si="238"/>
        <v>0</v>
      </c>
      <c r="N780" s="93">
        <f t="shared" si="238"/>
        <v>0</v>
      </c>
      <c r="O780" s="93">
        <f t="shared" si="238"/>
        <v>0</v>
      </c>
      <c r="P780" s="93">
        <f t="shared" si="238"/>
        <v>0</v>
      </c>
    </row>
    <row r="781" spans="1:16" x14ac:dyDescent="0.3">
      <c r="C781" s="94"/>
      <c r="D781" s="107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43"/>
    </row>
    <row r="782" spans="1:16" x14ac:dyDescent="0.3">
      <c r="C782" s="90" t="s">
        <v>151</v>
      </c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62">
        <f t="shared" ref="P782:P799" si="239">D782+E782+F782+G782+H782+I782+J782+K782+L782+M782+N782+O782</f>
        <v>0</v>
      </c>
    </row>
    <row r="783" spans="1:16" x14ac:dyDescent="0.3">
      <c r="C783" s="90" t="s">
        <v>152</v>
      </c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62">
        <f t="shared" si="239"/>
        <v>0</v>
      </c>
    </row>
    <row r="784" spans="1:16" x14ac:dyDescent="0.3">
      <c r="C784" s="90" t="s">
        <v>153</v>
      </c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62">
        <f t="shared" si="239"/>
        <v>0</v>
      </c>
    </row>
    <row r="785" spans="2:16" x14ac:dyDescent="0.3">
      <c r="C785" s="90" t="s">
        <v>154</v>
      </c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62">
        <f t="shared" si="239"/>
        <v>0</v>
      </c>
    </row>
    <row r="786" spans="2:16" x14ac:dyDescent="0.3">
      <c r="C786" s="90" t="s">
        <v>155</v>
      </c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62">
        <f t="shared" si="239"/>
        <v>0</v>
      </c>
    </row>
    <row r="787" spans="2:16" x14ac:dyDescent="0.3">
      <c r="C787" s="90" t="s">
        <v>156</v>
      </c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62">
        <f t="shared" si="239"/>
        <v>0</v>
      </c>
    </row>
    <row r="788" spans="2:16" x14ac:dyDescent="0.3">
      <c r="C788" s="90" t="s">
        <v>157</v>
      </c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62">
        <f t="shared" si="239"/>
        <v>0</v>
      </c>
    </row>
    <row r="789" spans="2:16" x14ac:dyDescent="0.3">
      <c r="B789" s="20"/>
      <c r="C789" s="90" t="s">
        <v>158</v>
      </c>
      <c r="D789" s="103">
        <f>'[20]budget R&amp;D 2023'!G53/1000000</f>
        <v>0</v>
      </c>
      <c r="E789" s="103">
        <f>'[20]budget R&amp;D 2023'!H53/1000000</f>
        <v>50</v>
      </c>
      <c r="F789" s="103">
        <f>'[20]budget R&amp;D 2023'!I53/1000000</f>
        <v>55</v>
      </c>
      <c r="G789" s="103">
        <f>'[20]budget R&amp;D 2023'!J53/1000000</f>
        <v>42</v>
      </c>
      <c r="H789" s="103">
        <f>'[20]budget R&amp;D 2023'!K53/1000000</f>
        <v>22</v>
      </c>
      <c r="I789" s="103">
        <f>'[20]budget R&amp;D 2023'!L53/1000000</f>
        <v>0</v>
      </c>
      <c r="J789" s="103">
        <f>'[20]budget R&amp;D 2023'!M53/1000000</f>
        <v>50</v>
      </c>
      <c r="K789" s="103">
        <f>'[20]budget R&amp;D 2023'!N53/1000000</f>
        <v>0</v>
      </c>
      <c r="L789" s="103">
        <f>'[20]budget R&amp;D 2023'!O53/1000000</f>
        <v>20</v>
      </c>
      <c r="M789" s="103">
        <f>'[20]budget R&amp;D 2023'!P53/1000000</f>
        <v>0</v>
      </c>
      <c r="N789" s="103">
        <f>'[20]budget R&amp;D 2023'!Q53/1000000</f>
        <v>20</v>
      </c>
      <c r="O789" s="103">
        <f>'[20]budget R&amp;D 2023'!R53/1000000</f>
        <v>0</v>
      </c>
      <c r="P789" s="62">
        <f t="shared" si="239"/>
        <v>259</v>
      </c>
    </row>
    <row r="790" spans="2:16" x14ac:dyDescent="0.3">
      <c r="C790" s="90" t="s">
        <v>159</v>
      </c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62">
        <f t="shared" si="239"/>
        <v>0</v>
      </c>
    </row>
    <row r="791" spans="2:16" x14ac:dyDescent="0.3">
      <c r="C791" s="90" t="s">
        <v>160</v>
      </c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62">
        <f t="shared" si="239"/>
        <v>0</v>
      </c>
    </row>
    <row r="792" spans="2:16" x14ac:dyDescent="0.3">
      <c r="C792" s="90" t="s">
        <v>161</v>
      </c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62">
        <f t="shared" si="239"/>
        <v>0</v>
      </c>
    </row>
    <row r="793" spans="2:16" x14ac:dyDescent="0.3">
      <c r="C793" s="90" t="s">
        <v>162</v>
      </c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62">
        <f t="shared" si="239"/>
        <v>0</v>
      </c>
    </row>
    <row r="794" spans="2:16" x14ac:dyDescent="0.3">
      <c r="C794" s="90" t="s">
        <v>163</v>
      </c>
      <c r="D794" s="103">
        <f>'[13]Budget Depre'!E37/1000000</f>
        <v>0</v>
      </c>
      <c r="E794" s="103">
        <f>'[13]Budget Depre'!F37/1000000</f>
        <v>0</v>
      </c>
      <c r="F794" s="103">
        <f>'[13]Budget Depre'!G37/1000000</f>
        <v>0</v>
      </c>
      <c r="G794" s="103">
        <f>'[13]Budget Depre'!H37/1000000</f>
        <v>0</v>
      </c>
      <c r="H794" s="103">
        <f>'[13]Budget Depre'!I37/1000000</f>
        <v>0</v>
      </c>
      <c r="I794" s="103">
        <f>'[13]Budget Depre'!J37/1000000</f>
        <v>0</v>
      </c>
      <c r="J794" s="103">
        <f>'[13]Budget Depre'!K37/1000000</f>
        <v>0</v>
      </c>
      <c r="K794" s="103">
        <f>'[13]Budget Depre'!L37/1000000</f>
        <v>0</v>
      </c>
      <c r="L794" s="103">
        <f>'[13]Budget Depre'!M37/1000000</f>
        <v>0</v>
      </c>
      <c r="M794" s="103">
        <f>'[13]Budget Depre'!N37/1000000</f>
        <v>0</v>
      </c>
      <c r="N794" s="103">
        <f>'[13]Budget Depre'!O37/1000000</f>
        <v>0</v>
      </c>
      <c r="O794" s="103">
        <f>'[13]Budget Depre'!P37/1000000</f>
        <v>0</v>
      </c>
      <c r="P794" s="62">
        <f t="shared" si="239"/>
        <v>0</v>
      </c>
    </row>
    <row r="795" spans="2:16" x14ac:dyDescent="0.3">
      <c r="C795" s="90" t="s">
        <v>164</v>
      </c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62">
        <f t="shared" si="239"/>
        <v>0</v>
      </c>
    </row>
    <row r="796" spans="2:16" x14ac:dyDescent="0.3">
      <c r="C796" s="90" t="s">
        <v>165</v>
      </c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62">
        <f t="shared" si="239"/>
        <v>0</v>
      </c>
    </row>
    <row r="797" spans="2:16" x14ac:dyDescent="0.3">
      <c r="C797" s="90" t="s">
        <v>166</v>
      </c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62">
        <f t="shared" si="239"/>
        <v>0</v>
      </c>
    </row>
    <row r="798" spans="2:16" x14ac:dyDescent="0.3">
      <c r="C798" s="90" t="s">
        <v>167</v>
      </c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62">
        <f t="shared" si="239"/>
        <v>0</v>
      </c>
    </row>
    <row r="799" spans="2:16" ht="13.5" thickBot="1" x14ac:dyDescent="0.35">
      <c r="C799" s="90" t="s">
        <v>168</v>
      </c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62">
        <f t="shared" si="239"/>
        <v>0</v>
      </c>
    </row>
    <row r="800" spans="2:16" ht="13.5" thickBot="1" x14ac:dyDescent="0.35">
      <c r="B800" s="20"/>
      <c r="C800" s="95" t="s">
        <v>169</v>
      </c>
      <c r="D800" s="93">
        <f t="shared" ref="D800:P800" si="240">SUM(D782:D799)</f>
        <v>0</v>
      </c>
      <c r="E800" s="93">
        <f t="shared" si="240"/>
        <v>50</v>
      </c>
      <c r="F800" s="93">
        <f t="shared" si="240"/>
        <v>55</v>
      </c>
      <c r="G800" s="93">
        <f t="shared" si="240"/>
        <v>42</v>
      </c>
      <c r="H800" s="93">
        <f t="shared" si="240"/>
        <v>22</v>
      </c>
      <c r="I800" s="93">
        <f t="shared" si="240"/>
        <v>0</v>
      </c>
      <c r="J800" s="93">
        <f t="shared" si="240"/>
        <v>50</v>
      </c>
      <c r="K800" s="93">
        <f t="shared" si="240"/>
        <v>0</v>
      </c>
      <c r="L800" s="93">
        <f t="shared" si="240"/>
        <v>20</v>
      </c>
      <c r="M800" s="93">
        <f t="shared" si="240"/>
        <v>0</v>
      </c>
      <c r="N800" s="93">
        <f t="shared" si="240"/>
        <v>20</v>
      </c>
      <c r="O800" s="93">
        <f t="shared" si="240"/>
        <v>0</v>
      </c>
      <c r="P800" s="93">
        <f t="shared" si="240"/>
        <v>259</v>
      </c>
    </row>
    <row r="801" spans="1:16" x14ac:dyDescent="0.3">
      <c r="C801" s="90" t="s">
        <v>170</v>
      </c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>
        <f t="shared" ref="P801:P814" si="241">D801+E801+F801+G801+H801+I801+J801+K801+L801+M801+N801+O801</f>
        <v>0</v>
      </c>
    </row>
    <row r="802" spans="1:16" x14ac:dyDescent="0.3">
      <c r="C802" s="90" t="s">
        <v>171</v>
      </c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>
        <f t="shared" si="241"/>
        <v>0</v>
      </c>
    </row>
    <row r="803" spans="1:16" x14ac:dyDescent="0.3">
      <c r="C803" s="90" t="s">
        <v>172</v>
      </c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>
        <f t="shared" si="241"/>
        <v>0</v>
      </c>
    </row>
    <row r="804" spans="1:16" x14ac:dyDescent="0.3">
      <c r="C804" s="90" t="s">
        <v>173</v>
      </c>
      <c r="D804" s="62">
        <f>'[8]Budget Upah per cost center'!$C$18/1000000+([7]Sheet3!$G$13/1000000)</f>
        <v>96.25982187999999</v>
      </c>
      <c r="E804" s="62">
        <f>D804</f>
        <v>96.25982187999999</v>
      </c>
      <c r="F804" s="62">
        <f t="shared" ref="F804:O804" si="242">E804</f>
        <v>96.25982187999999</v>
      </c>
      <c r="G804" s="62">
        <f t="shared" si="242"/>
        <v>96.25982187999999</v>
      </c>
      <c r="H804" s="62">
        <f t="shared" si="242"/>
        <v>96.25982187999999</v>
      </c>
      <c r="I804" s="62">
        <f t="shared" si="242"/>
        <v>96.25982187999999</v>
      </c>
      <c r="J804" s="62">
        <f t="shared" si="242"/>
        <v>96.25982187999999</v>
      </c>
      <c r="K804" s="62">
        <f t="shared" si="242"/>
        <v>96.25982187999999</v>
      </c>
      <c r="L804" s="62">
        <f t="shared" si="242"/>
        <v>96.25982187999999</v>
      </c>
      <c r="M804" s="62">
        <f t="shared" si="242"/>
        <v>96.25982187999999</v>
      </c>
      <c r="N804" s="62">
        <f t="shared" si="242"/>
        <v>96.25982187999999</v>
      </c>
      <c r="O804" s="62">
        <f t="shared" si="242"/>
        <v>96.25982187999999</v>
      </c>
      <c r="P804" s="62">
        <f t="shared" si="241"/>
        <v>1155.1178625599998</v>
      </c>
    </row>
    <row r="805" spans="1:16" x14ac:dyDescent="0.3">
      <c r="C805" s="90" t="s">
        <v>174</v>
      </c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>
        <f t="shared" si="241"/>
        <v>0</v>
      </c>
    </row>
    <row r="806" spans="1:16" x14ac:dyDescent="0.3">
      <c r="C806" s="90" t="s">
        <v>175</v>
      </c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>
        <f t="shared" si="241"/>
        <v>0</v>
      </c>
    </row>
    <row r="807" spans="1:16" ht="13.5" thickBot="1" x14ac:dyDescent="0.35">
      <c r="C807" s="90" t="s">
        <v>176</v>
      </c>
      <c r="D807" s="62">
        <f>('[8]Budget Upah per cost center'!$D$18/12)/1000000+([7]Sheet3!$H$13/1000000)</f>
        <v>6.9804018233333327</v>
      </c>
      <c r="E807" s="62">
        <f>D807</f>
        <v>6.9804018233333327</v>
      </c>
      <c r="F807" s="62">
        <f t="shared" ref="F807:O807" si="243">E807</f>
        <v>6.9804018233333327</v>
      </c>
      <c r="G807" s="62">
        <f t="shared" si="243"/>
        <v>6.9804018233333327</v>
      </c>
      <c r="H807" s="62">
        <f t="shared" si="243"/>
        <v>6.9804018233333327</v>
      </c>
      <c r="I807" s="62">
        <f t="shared" si="243"/>
        <v>6.9804018233333327</v>
      </c>
      <c r="J807" s="62">
        <f t="shared" si="243"/>
        <v>6.9804018233333327</v>
      </c>
      <c r="K807" s="62">
        <f t="shared" si="243"/>
        <v>6.9804018233333327</v>
      </c>
      <c r="L807" s="62">
        <f t="shared" si="243"/>
        <v>6.9804018233333327</v>
      </c>
      <c r="M807" s="62">
        <f t="shared" si="243"/>
        <v>6.9804018233333327</v>
      </c>
      <c r="N807" s="62">
        <f t="shared" si="243"/>
        <v>6.9804018233333327</v>
      </c>
      <c r="O807" s="62">
        <f t="shared" si="243"/>
        <v>6.9804018233333327</v>
      </c>
      <c r="P807" s="62">
        <f t="shared" si="241"/>
        <v>83.76482188</v>
      </c>
    </row>
    <row r="808" spans="1:16" ht="13.5" thickBot="1" x14ac:dyDescent="0.35">
      <c r="B808" s="20"/>
      <c r="C808" s="97" t="s">
        <v>177</v>
      </c>
      <c r="D808" s="98">
        <f t="shared" ref="D808:O808" si="244">SUM(D801:D807)</f>
        <v>103.24022370333333</v>
      </c>
      <c r="E808" s="98">
        <f t="shared" si="244"/>
        <v>103.24022370333333</v>
      </c>
      <c r="F808" s="98">
        <f t="shared" si="244"/>
        <v>103.24022370333333</v>
      </c>
      <c r="G808" s="98">
        <f t="shared" si="244"/>
        <v>103.24022370333333</v>
      </c>
      <c r="H808" s="98">
        <f t="shared" si="244"/>
        <v>103.24022370333333</v>
      </c>
      <c r="I808" s="98">
        <f t="shared" si="244"/>
        <v>103.24022370333333</v>
      </c>
      <c r="J808" s="98">
        <f t="shared" si="244"/>
        <v>103.24022370333333</v>
      </c>
      <c r="K808" s="98">
        <f t="shared" si="244"/>
        <v>103.24022370333333</v>
      </c>
      <c r="L808" s="98">
        <f t="shared" si="244"/>
        <v>103.24022370333333</v>
      </c>
      <c r="M808" s="98">
        <f t="shared" si="244"/>
        <v>103.24022370333333</v>
      </c>
      <c r="N808" s="98">
        <f t="shared" si="244"/>
        <v>103.24022370333333</v>
      </c>
      <c r="O808" s="98">
        <f t="shared" si="244"/>
        <v>103.24022370333333</v>
      </c>
      <c r="P808" s="98">
        <f t="shared" si="241"/>
        <v>1238.88268444</v>
      </c>
    </row>
    <row r="809" spans="1:16" x14ac:dyDescent="0.3">
      <c r="B809" s="20"/>
      <c r="C809" s="90" t="s">
        <v>178</v>
      </c>
      <c r="D809" s="62">
        <f>[7]Sheet3!$N$13/1000000</f>
        <v>2.8267650366666666</v>
      </c>
      <c r="E809" s="62">
        <f>D809</f>
        <v>2.8267650366666666</v>
      </c>
      <c r="F809" s="62">
        <f t="shared" ref="F809:O809" si="245">E809</f>
        <v>2.8267650366666666</v>
      </c>
      <c r="G809" s="62">
        <f t="shared" si="245"/>
        <v>2.8267650366666666</v>
      </c>
      <c r="H809" s="62">
        <f t="shared" si="245"/>
        <v>2.8267650366666666</v>
      </c>
      <c r="I809" s="62">
        <f t="shared" si="245"/>
        <v>2.8267650366666666</v>
      </c>
      <c r="J809" s="62">
        <f t="shared" si="245"/>
        <v>2.8267650366666666</v>
      </c>
      <c r="K809" s="62">
        <f t="shared" si="245"/>
        <v>2.8267650366666666</v>
      </c>
      <c r="L809" s="62">
        <f t="shared" si="245"/>
        <v>2.8267650366666666</v>
      </c>
      <c r="M809" s="62">
        <f t="shared" si="245"/>
        <v>2.8267650366666666</v>
      </c>
      <c r="N809" s="62">
        <f t="shared" si="245"/>
        <v>2.8267650366666666</v>
      </c>
      <c r="O809" s="62">
        <f t="shared" si="245"/>
        <v>2.8267650366666666</v>
      </c>
      <c r="P809" s="62">
        <f t="shared" si="241"/>
        <v>33.921180440000008</v>
      </c>
    </row>
    <row r="810" spans="1:16" x14ac:dyDescent="0.3">
      <c r="B810" s="20"/>
      <c r="C810" s="90" t="s">
        <v>179</v>
      </c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>
        <f t="shared" si="241"/>
        <v>0</v>
      </c>
    </row>
    <row r="811" spans="1:16" x14ac:dyDescent="0.3">
      <c r="B811" s="20"/>
      <c r="C811" s="90" t="s">
        <v>180</v>
      </c>
      <c r="D811" s="62">
        <f>('[9]Budget Benefit per cost center'!$E$18+'[9]Budget Benefit per cost center'!$F$18+'[9]Budget Benefit per cost center'!$G$18)/1000000+(([7]Sheet3!$I$13+[7]Sheet3!$M$13)/1000000)</f>
        <v>4.4694800281666662</v>
      </c>
      <c r="E811" s="62">
        <f>D811</f>
        <v>4.4694800281666662</v>
      </c>
      <c r="F811" s="62">
        <f t="shared" ref="F811:O813" si="246">E811</f>
        <v>4.4694800281666662</v>
      </c>
      <c r="G811" s="62">
        <f t="shared" si="246"/>
        <v>4.4694800281666662</v>
      </c>
      <c r="H811" s="62">
        <f t="shared" si="246"/>
        <v>4.4694800281666662</v>
      </c>
      <c r="I811" s="62">
        <f t="shared" si="246"/>
        <v>4.4694800281666662</v>
      </c>
      <c r="J811" s="62">
        <f t="shared" si="246"/>
        <v>4.4694800281666662</v>
      </c>
      <c r="K811" s="62">
        <f t="shared" si="246"/>
        <v>4.4694800281666662</v>
      </c>
      <c r="L811" s="62">
        <f t="shared" si="246"/>
        <v>4.4694800281666662</v>
      </c>
      <c r="M811" s="62">
        <f t="shared" si="246"/>
        <v>4.4694800281666662</v>
      </c>
      <c r="N811" s="62">
        <f t="shared" si="246"/>
        <v>4.4694800281666662</v>
      </c>
      <c r="O811" s="62">
        <f t="shared" si="246"/>
        <v>4.4694800281666662</v>
      </c>
      <c r="P811" s="62">
        <f t="shared" si="241"/>
        <v>53.633760337999981</v>
      </c>
    </row>
    <row r="812" spans="1:16" x14ac:dyDescent="0.3">
      <c r="B812" s="20"/>
      <c r="C812" s="90" t="s">
        <v>181</v>
      </c>
      <c r="D812" s="62">
        <f>[7]Sheet3!$L$13/1000000</f>
        <v>4.0705416528000002</v>
      </c>
      <c r="E812" s="62">
        <f>D812</f>
        <v>4.0705416528000002</v>
      </c>
      <c r="F812" s="62">
        <f t="shared" si="246"/>
        <v>4.0705416528000002</v>
      </c>
      <c r="G812" s="62">
        <f t="shared" si="246"/>
        <v>4.0705416528000002</v>
      </c>
      <c r="H812" s="62">
        <f t="shared" si="246"/>
        <v>4.0705416528000002</v>
      </c>
      <c r="I812" s="62">
        <f t="shared" si="246"/>
        <v>4.0705416528000002</v>
      </c>
      <c r="J812" s="62">
        <f t="shared" si="246"/>
        <v>4.0705416528000002</v>
      </c>
      <c r="K812" s="62">
        <f t="shared" si="246"/>
        <v>4.0705416528000002</v>
      </c>
      <c r="L812" s="62">
        <f t="shared" si="246"/>
        <v>4.0705416528000002</v>
      </c>
      <c r="M812" s="62">
        <f t="shared" si="246"/>
        <v>4.0705416528000002</v>
      </c>
      <c r="N812" s="62">
        <f t="shared" si="246"/>
        <v>4.0705416528000002</v>
      </c>
      <c r="O812" s="62">
        <f t="shared" si="246"/>
        <v>4.0705416528000002</v>
      </c>
      <c r="P812" s="62">
        <f t="shared" si="241"/>
        <v>48.846499833600014</v>
      </c>
    </row>
    <row r="813" spans="1:16" x14ac:dyDescent="0.3">
      <c r="B813" s="20"/>
      <c r="C813" s="90" t="s">
        <v>182</v>
      </c>
      <c r="D813" s="62">
        <f>('[9]Budget Benefit per cost center'!$C$18+('[9]Budget Benefit per cost center'!$D$18/12))/1000000+(([7]Sheet3!$J$13+[7]Sheet3!$K$13)/1000000)</f>
        <v>3.899891666666667</v>
      </c>
      <c r="E813" s="62">
        <f>D813</f>
        <v>3.899891666666667</v>
      </c>
      <c r="F813" s="62">
        <f t="shared" si="246"/>
        <v>3.899891666666667</v>
      </c>
      <c r="G813" s="62">
        <f t="shared" si="246"/>
        <v>3.899891666666667</v>
      </c>
      <c r="H813" s="62">
        <f t="shared" si="246"/>
        <v>3.899891666666667</v>
      </c>
      <c r="I813" s="62">
        <f t="shared" si="246"/>
        <v>3.899891666666667</v>
      </c>
      <c r="J813" s="62">
        <f t="shared" si="246"/>
        <v>3.899891666666667</v>
      </c>
      <c r="K813" s="62">
        <f t="shared" si="246"/>
        <v>3.899891666666667</v>
      </c>
      <c r="L813" s="62">
        <f t="shared" si="246"/>
        <v>3.899891666666667</v>
      </c>
      <c r="M813" s="62">
        <f t="shared" si="246"/>
        <v>3.899891666666667</v>
      </c>
      <c r="N813" s="62">
        <f t="shared" si="246"/>
        <v>3.899891666666667</v>
      </c>
      <c r="O813" s="62">
        <f t="shared" si="246"/>
        <v>3.899891666666667</v>
      </c>
      <c r="P813" s="62">
        <f t="shared" si="241"/>
        <v>46.798700000000018</v>
      </c>
    </row>
    <row r="814" spans="1:16" ht="13.5" thickBot="1" x14ac:dyDescent="0.35">
      <c r="A814" s="20"/>
      <c r="B814" s="20"/>
      <c r="C814" s="99" t="s">
        <v>183</v>
      </c>
      <c r="D814" s="100">
        <f t="shared" ref="D814:O814" si="247">SUM(D809:D813)</f>
        <v>15.266678384299999</v>
      </c>
      <c r="E814" s="100">
        <f t="shared" si="247"/>
        <v>15.266678384299999</v>
      </c>
      <c r="F814" s="100">
        <f t="shared" si="247"/>
        <v>15.266678384299999</v>
      </c>
      <c r="G814" s="100">
        <f t="shared" si="247"/>
        <v>15.266678384299999</v>
      </c>
      <c r="H814" s="100">
        <f t="shared" si="247"/>
        <v>15.266678384299999</v>
      </c>
      <c r="I814" s="100">
        <f t="shared" si="247"/>
        <v>15.266678384299999</v>
      </c>
      <c r="J814" s="100">
        <f t="shared" si="247"/>
        <v>15.266678384299999</v>
      </c>
      <c r="K814" s="100">
        <f t="shared" si="247"/>
        <v>15.266678384299999</v>
      </c>
      <c r="L814" s="100">
        <f t="shared" si="247"/>
        <v>15.266678384299999</v>
      </c>
      <c r="M814" s="100">
        <f t="shared" si="247"/>
        <v>15.266678384299999</v>
      </c>
      <c r="N814" s="100">
        <f t="shared" si="247"/>
        <v>15.266678384299999</v>
      </c>
      <c r="O814" s="100">
        <f t="shared" si="247"/>
        <v>15.266678384299999</v>
      </c>
      <c r="P814" s="100">
        <f t="shared" si="241"/>
        <v>183.20014061160001</v>
      </c>
    </row>
    <row r="815" spans="1:16" ht="13.5" thickBot="1" x14ac:dyDescent="0.35">
      <c r="A815" s="20"/>
      <c r="B815" s="20"/>
      <c r="C815" s="92" t="s">
        <v>184</v>
      </c>
      <c r="D815" s="93">
        <f t="shared" ref="D815:P815" si="248">D780+D800+D808+D814</f>
        <v>118.50690208763332</v>
      </c>
      <c r="E815" s="93">
        <f t="shared" si="248"/>
        <v>168.50690208763334</v>
      </c>
      <c r="F815" s="93">
        <f t="shared" si="248"/>
        <v>173.50690208763334</v>
      </c>
      <c r="G815" s="93">
        <f t="shared" si="248"/>
        <v>160.50690208763334</v>
      </c>
      <c r="H815" s="93">
        <f t="shared" si="248"/>
        <v>140.50690208763334</v>
      </c>
      <c r="I815" s="93">
        <f t="shared" si="248"/>
        <v>118.50690208763332</v>
      </c>
      <c r="J815" s="93">
        <f t="shared" si="248"/>
        <v>168.50690208763334</v>
      </c>
      <c r="K815" s="93">
        <f t="shared" si="248"/>
        <v>118.50690208763332</v>
      </c>
      <c r="L815" s="93">
        <f t="shared" si="248"/>
        <v>138.50690208763334</v>
      </c>
      <c r="M815" s="93">
        <f t="shared" si="248"/>
        <v>118.50690208763332</v>
      </c>
      <c r="N815" s="93">
        <f t="shared" si="248"/>
        <v>138.50690208763334</v>
      </c>
      <c r="O815" s="93">
        <f t="shared" si="248"/>
        <v>118.50690208763332</v>
      </c>
      <c r="P815" s="93">
        <f t="shared" si="248"/>
        <v>1681.0828250516001</v>
      </c>
    </row>
    <row r="816" spans="1:16" ht="13.5" thickBot="1" x14ac:dyDescent="0.35">
      <c r="C816" s="118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</row>
    <row r="817" spans="3:19" ht="13.5" thickBot="1" x14ac:dyDescent="0.35">
      <c r="C817" s="119"/>
      <c r="D817" s="120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</row>
    <row r="818" spans="3:19" ht="14" thickTop="1" thickBot="1" x14ac:dyDescent="0.35">
      <c r="C818" s="127" t="s">
        <v>248</v>
      </c>
      <c r="D818" s="122">
        <f>D815+D817</f>
        <v>118.50690208763332</v>
      </c>
      <c r="E818" s="122">
        <f t="shared" ref="E818:P818" si="249">E815+E817</f>
        <v>168.50690208763334</v>
      </c>
      <c r="F818" s="122">
        <f t="shared" si="249"/>
        <v>173.50690208763334</v>
      </c>
      <c r="G818" s="122">
        <f t="shared" si="249"/>
        <v>160.50690208763334</v>
      </c>
      <c r="H818" s="122">
        <f t="shared" si="249"/>
        <v>140.50690208763334</v>
      </c>
      <c r="I818" s="122">
        <f t="shared" si="249"/>
        <v>118.50690208763332</v>
      </c>
      <c r="J818" s="122">
        <f t="shared" si="249"/>
        <v>168.50690208763334</v>
      </c>
      <c r="K818" s="122">
        <f t="shared" si="249"/>
        <v>118.50690208763332</v>
      </c>
      <c r="L818" s="122">
        <f t="shared" si="249"/>
        <v>138.50690208763334</v>
      </c>
      <c r="M818" s="122">
        <f t="shared" si="249"/>
        <v>118.50690208763332</v>
      </c>
      <c r="N818" s="122">
        <f t="shared" si="249"/>
        <v>138.50690208763334</v>
      </c>
      <c r="O818" s="122">
        <f t="shared" si="249"/>
        <v>118.50690208763332</v>
      </c>
      <c r="P818" s="122">
        <f t="shared" si="249"/>
        <v>1681.0828250516001</v>
      </c>
    </row>
    <row r="819" spans="3:19" ht="14" thickTop="1" thickBot="1" x14ac:dyDescent="0.35">
      <c r="C819" s="128" t="s">
        <v>256</v>
      </c>
      <c r="D819" s="122">
        <f t="shared" ref="D819:P819" si="250">D818+D813</f>
        <v>122.40679375429998</v>
      </c>
      <c r="E819" s="122">
        <f t="shared" si="250"/>
        <v>172.4067937543</v>
      </c>
      <c r="F819" s="122">
        <f t="shared" si="250"/>
        <v>177.4067937543</v>
      </c>
      <c r="G819" s="122">
        <f t="shared" si="250"/>
        <v>164.4067937543</v>
      </c>
      <c r="H819" s="122">
        <f t="shared" si="250"/>
        <v>144.4067937543</v>
      </c>
      <c r="I819" s="122">
        <f t="shared" si="250"/>
        <v>122.40679375429998</v>
      </c>
      <c r="J819" s="122">
        <f t="shared" si="250"/>
        <v>172.4067937543</v>
      </c>
      <c r="K819" s="122">
        <f t="shared" si="250"/>
        <v>122.40679375429998</v>
      </c>
      <c r="L819" s="122">
        <f t="shared" si="250"/>
        <v>142.4067937543</v>
      </c>
      <c r="M819" s="122">
        <f t="shared" si="250"/>
        <v>122.40679375429998</v>
      </c>
      <c r="N819" s="122">
        <f t="shared" si="250"/>
        <v>142.4067937543</v>
      </c>
      <c r="O819" s="122">
        <f t="shared" si="250"/>
        <v>122.40679375429998</v>
      </c>
      <c r="P819" s="122">
        <f t="shared" si="250"/>
        <v>1727.8815250516002</v>
      </c>
    </row>
    <row r="820" spans="3:19" ht="13.5" thickTop="1" x14ac:dyDescent="0.3"/>
    <row r="822" spans="3:19" ht="13.5" thickBot="1" x14ac:dyDescent="0.35">
      <c r="C822" s="13" t="s">
        <v>262</v>
      </c>
    </row>
    <row r="823" spans="3:19" s="29" customFormat="1" ht="26.25" customHeight="1" thickBot="1" x14ac:dyDescent="0.4">
      <c r="C823" s="23" t="s">
        <v>69</v>
      </c>
      <c r="D823" s="24" t="s">
        <v>70</v>
      </c>
      <c r="E823" s="24" t="s">
        <v>71</v>
      </c>
      <c r="F823" s="24" t="s">
        <v>72</v>
      </c>
      <c r="G823" s="24" t="s">
        <v>73</v>
      </c>
      <c r="H823" s="24" t="s">
        <v>74</v>
      </c>
      <c r="I823" s="24" t="s">
        <v>75</v>
      </c>
      <c r="J823" s="24" t="s">
        <v>76</v>
      </c>
      <c r="K823" s="24" t="s">
        <v>77</v>
      </c>
      <c r="L823" s="24" t="s">
        <v>78</v>
      </c>
      <c r="M823" s="24" t="s">
        <v>79</v>
      </c>
      <c r="N823" s="24" t="s">
        <v>80</v>
      </c>
      <c r="O823" s="24" t="s">
        <v>81</v>
      </c>
      <c r="P823" s="25" t="s">
        <v>82</v>
      </c>
      <c r="Q823" s="129"/>
      <c r="R823" s="130"/>
      <c r="S823" s="28"/>
    </row>
    <row r="824" spans="3:19" x14ac:dyDescent="0.3">
      <c r="C824" s="90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</row>
    <row r="825" spans="3:19" x14ac:dyDescent="0.3">
      <c r="C825" s="90" t="s">
        <v>186</v>
      </c>
      <c r="D825" s="62">
        <f>'[21]Rekap Expenses'!B9/1000</f>
        <v>321</v>
      </c>
      <c r="E825" s="62">
        <f>'[21]Rekap Expenses'!C9/1000</f>
        <v>268.52</v>
      </c>
      <c r="F825" s="62">
        <f>'[21]Rekap Expenses'!D9/1000</f>
        <v>272.5</v>
      </c>
      <c r="G825" s="62">
        <f>'[21]Rekap Expenses'!E9/1000</f>
        <v>239.5</v>
      </c>
      <c r="H825" s="62">
        <f>'[21]Rekap Expenses'!F9/1000</f>
        <v>130</v>
      </c>
      <c r="I825" s="62">
        <f>'[21]Rekap Expenses'!G9/1000</f>
        <v>310</v>
      </c>
      <c r="J825" s="62">
        <f>'[21]Rekap Expenses'!H9/1000</f>
        <v>181.25</v>
      </c>
      <c r="K825" s="62">
        <f>'[21]Rekap Expenses'!I9/1000</f>
        <v>152.5</v>
      </c>
      <c r="L825" s="62">
        <f>'[21]Rekap Expenses'!J9/1000</f>
        <v>170</v>
      </c>
      <c r="M825" s="62">
        <f>'[21]Rekap Expenses'!K9/1000</f>
        <v>383</v>
      </c>
      <c r="N825" s="62">
        <f>'[21]Rekap Expenses'!L9/1000</f>
        <v>70</v>
      </c>
      <c r="O825" s="62">
        <f>'[21]Rekap Expenses'!M9/1000</f>
        <v>20</v>
      </c>
      <c r="P825" s="62">
        <f>SUM(D825:O825)</f>
        <v>2518.27</v>
      </c>
    </row>
    <row r="826" spans="3:19" x14ac:dyDescent="0.3">
      <c r="C826" s="90" t="s">
        <v>187</v>
      </c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>
        <f t="shared" ref="P826:P840" si="251">SUM(D826:O826)</f>
        <v>0</v>
      </c>
    </row>
    <row r="827" spans="3:19" x14ac:dyDescent="0.3">
      <c r="C827" s="90" t="s">
        <v>188</v>
      </c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>
        <f t="shared" si="251"/>
        <v>0</v>
      </c>
    </row>
    <row r="828" spans="3:19" x14ac:dyDescent="0.3">
      <c r="C828" s="90" t="s">
        <v>189</v>
      </c>
      <c r="D828" s="62">
        <f>'[21]Rekap Expenses'!B12/1000</f>
        <v>30</v>
      </c>
      <c r="E828" s="62">
        <f>'[21]Rekap Expenses'!C12/1000</f>
        <v>30</v>
      </c>
      <c r="F828" s="62">
        <f>'[21]Rekap Expenses'!D12/1000</f>
        <v>30</v>
      </c>
      <c r="G828" s="62">
        <f>'[21]Rekap Expenses'!E12/1000</f>
        <v>30</v>
      </c>
      <c r="H828" s="62">
        <f>'[21]Rekap Expenses'!F12/1000</f>
        <v>30</v>
      </c>
      <c r="I828" s="62">
        <f>'[21]Rekap Expenses'!G12/1000</f>
        <v>30</v>
      </c>
      <c r="J828" s="62">
        <f>'[21]Rekap Expenses'!H12/1000</f>
        <v>30</v>
      </c>
      <c r="K828" s="62">
        <f>'[21]Rekap Expenses'!I12/1000</f>
        <v>30</v>
      </c>
      <c r="L828" s="62">
        <f>'[21]Rekap Expenses'!J12/1000</f>
        <v>30</v>
      </c>
      <c r="M828" s="62">
        <f>'[21]Rekap Expenses'!K12/1000</f>
        <v>30</v>
      </c>
      <c r="N828" s="62">
        <f>'[21]Rekap Expenses'!L12/1000</f>
        <v>30</v>
      </c>
      <c r="O828" s="62">
        <f>'[21]Rekap Expenses'!M12/1000</f>
        <v>30</v>
      </c>
      <c r="P828" s="62">
        <f t="shared" si="251"/>
        <v>360</v>
      </c>
    </row>
    <row r="829" spans="3:19" x14ac:dyDescent="0.3">
      <c r="C829" s="90" t="s">
        <v>190</v>
      </c>
      <c r="D829" s="62">
        <f>'[21]Rekap Expenses'!B13/1000</f>
        <v>47.69</v>
      </c>
      <c r="E829" s="62">
        <f>'[21]Rekap Expenses'!C13/1000</f>
        <v>34.06</v>
      </c>
      <c r="F829" s="62">
        <f>'[21]Rekap Expenses'!D13/1000</f>
        <v>53.6</v>
      </c>
      <c r="G829" s="62">
        <f>'[21]Rekap Expenses'!E13/1000</f>
        <v>7.11</v>
      </c>
      <c r="H829" s="62">
        <f>'[21]Rekap Expenses'!F13/1000</f>
        <v>45.73</v>
      </c>
      <c r="I829" s="62">
        <f>'[21]Rekap Expenses'!G13/1000</f>
        <v>49.89</v>
      </c>
      <c r="J829" s="62">
        <f>'[21]Rekap Expenses'!H13/1000</f>
        <v>66.48</v>
      </c>
      <c r="K829" s="62">
        <f>'[21]Rekap Expenses'!I13/1000</f>
        <v>52.92</v>
      </c>
      <c r="L829" s="62">
        <f>'[21]Rekap Expenses'!J13/1000</f>
        <v>52.62</v>
      </c>
      <c r="M829" s="62">
        <f>'[21]Rekap Expenses'!K13/1000</f>
        <v>71.37</v>
      </c>
      <c r="N829" s="62">
        <f>'[21]Rekap Expenses'!L13/1000</f>
        <v>59.5</v>
      </c>
      <c r="O829" s="62">
        <f>'[21]Rekap Expenses'!M13/1000</f>
        <v>35.67</v>
      </c>
      <c r="P829" s="62">
        <f t="shared" si="251"/>
        <v>576.64</v>
      </c>
    </row>
    <row r="830" spans="3:19" x14ac:dyDescent="0.3">
      <c r="C830" s="90" t="s">
        <v>191</v>
      </c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>
        <f t="shared" si="251"/>
        <v>0</v>
      </c>
    </row>
    <row r="831" spans="3:19" x14ac:dyDescent="0.3">
      <c r="C831" s="90" t="s">
        <v>192</v>
      </c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>
        <f t="shared" si="251"/>
        <v>0</v>
      </c>
    </row>
    <row r="832" spans="3:19" x14ac:dyDescent="0.3">
      <c r="C832" s="90" t="s">
        <v>263</v>
      </c>
      <c r="D832" s="62">
        <f>'[21]Rekap Expenses'!B16/1000</f>
        <v>0.35</v>
      </c>
      <c r="E832" s="62">
        <f>'[21]Rekap Expenses'!C16/1000</f>
        <v>0.35</v>
      </c>
      <c r="F832" s="62">
        <f>'[21]Rekap Expenses'!D16/1000</f>
        <v>0.35</v>
      </c>
      <c r="G832" s="62">
        <f>'[21]Rekap Expenses'!E16/1000</f>
        <v>0.35</v>
      </c>
      <c r="H832" s="62">
        <f>'[21]Rekap Expenses'!F16/1000</f>
        <v>0.35</v>
      </c>
      <c r="I832" s="62">
        <f>'[21]Rekap Expenses'!G16/1000</f>
        <v>0.35</v>
      </c>
      <c r="J832" s="62">
        <f>'[21]Rekap Expenses'!H16/1000</f>
        <v>0.35</v>
      </c>
      <c r="K832" s="62">
        <f>'[21]Rekap Expenses'!I16/1000</f>
        <v>0.35</v>
      </c>
      <c r="L832" s="62">
        <f>'[21]Rekap Expenses'!J16/1000</f>
        <v>0.35</v>
      </c>
      <c r="M832" s="62">
        <f>'[21]Rekap Expenses'!K16/1000</f>
        <v>0.35</v>
      </c>
      <c r="N832" s="62">
        <f>'[21]Rekap Expenses'!L16/1000</f>
        <v>0.35</v>
      </c>
      <c r="O832" s="62">
        <f>'[21]Rekap Expenses'!M16/1000</f>
        <v>0.35</v>
      </c>
      <c r="P832" s="62">
        <f t="shared" si="251"/>
        <v>4.2</v>
      </c>
    </row>
    <row r="833" spans="3:19" x14ac:dyDescent="0.3">
      <c r="C833" s="90" t="s">
        <v>194</v>
      </c>
      <c r="D833" s="62">
        <f>[7]Sheet3!$G$16/1000000+('[8]Budget Upah per cost center'!$C$27/1000000)</f>
        <v>107.7856281</v>
      </c>
      <c r="E833" s="62">
        <f t="shared" ref="E833:O839" si="252">D833</f>
        <v>107.7856281</v>
      </c>
      <c r="F833" s="62">
        <f t="shared" si="252"/>
        <v>107.7856281</v>
      </c>
      <c r="G833" s="62">
        <f t="shared" si="252"/>
        <v>107.7856281</v>
      </c>
      <c r="H833" s="62">
        <f t="shared" si="252"/>
        <v>107.7856281</v>
      </c>
      <c r="I833" s="62">
        <f t="shared" si="252"/>
        <v>107.7856281</v>
      </c>
      <c r="J833" s="62">
        <f t="shared" si="252"/>
        <v>107.7856281</v>
      </c>
      <c r="K833" s="62">
        <f t="shared" si="252"/>
        <v>107.7856281</v>
      </c>
      <c r="L833" s="62">
        <f t="shared" si="252"/>
        <v>107.7856281</v>
      </c>
      <c r="M833" s="62">
        <f t="shared" si="252"/>
        <v>107.7856281</v>
      </c>
      <c r="N833" s="62">
        <f t="shared" si="252"/>
        <v>107.7856281</v>
      </c>
      <c r="O833" s="62">
        <f t="shared" si="252"/>
        <v>107.7856281</v>
      </c>
      <c r="P833" s="62">
        <f>SUM(D833:O833)</f>
        <v>1293.4275371999995</v>
      </c>
    </row>
    <row r="834" spans="3:19" x14ac:dyDescent="0.3">
      <c r="C834" s="90" t="s">
        <v>195</v>
      </c>
      <c r="D834" s="62">
        <f>([7]Sheet3!$I$16+[7]Sheet3!$M$16)/1000000+(('[9]Budget Benefit per cost center'!$E$27+'[9]Budget Benefit per cost center'!$F$27)/1000000)</f>
        <v>3.8994107280000003</v>
      </c>
      <c r="E834" s="62">
        <f t="shared" si="252"/>
        <v>3.8994107280000003</v>
      </c>
      <c r="F834" s="62">
        <f t="shared" si="252"/>
        <v>3.8994107280000003</v>
      </c>
      <c r="G834" s="62">
        <f t="shared" si="252"/>
        <v>3.8994107280000003</v>
      </c>
      <c r="H834" s="62">
        <f t="shared" si="252"/>
        <v>3.8994107280000003</v>
      </c>
      <c r="I834" s="62">
        <f t="shared" si="252"/>
        <v>3.8994107280000003</v>
      </c>
      <c r="J834" s="62">
        <f t="shared" si="252"/>
        <v>3.8994107280000003</v>
      </c>
      <c r="K834" s="62">
        <f t="shared" si="252"/>
        <v>3.8994107280000003</v>
      </c>
      <c r="L834" s="62">
        <f t="shared" si="252"/>
        <v>3.8994107280000003</v>
      </c>
      <c r="M834" s="62">
        <f t="shared" si="252"/>
        <v>3.8994107280000003</v>
      </c>
      <c r="N834" s="62">
        <f t="shared" si="252"/>
        <v>3.8994107280000003</v>
      </c>
      <c r="O834" s="62">
        <f t="shared" si="252"/>
        <v>3.8994107280000003</v>
      </c>
      <c r="P834" s="62">
        <f t="shared" si="251"/>
        <v>46.792928736</v>
      </c>
    </row>
    <row r="835" spans="3:19" x14ac:dyDescent="0.3">
      <c r="C835" s="90" t="s">
        <v>196</v>
      </c>
      <c r="D835" s="62">
        <f>[7]Sheet3!$L$16/1000000+('[9]Budget Benefit per cost center'!$G$27/1000000)</f>
        <v>5.4271210859999997</v>
      </c>
      <c r="E835" s="62">
        <f t="shared" si="252"/>
        <v>5.4271210859999997</v>
      </c>
      <c r="F835" s="62">
        <f t="shared" si="252"/>
        <v>5.4271210859999997</v>
      </c>
      <c r="G835" s="62">
        <f t="shared" si="252"/>
        <v>5.4271210859999997</v>
      </c>
      <c r="H835" s="62">
        <f t="shared" si="252"/>
        <v>5.4271210859999997</v>
      </c>
      <c r="I835" s="62">
        <f t="shared" si="252"/>
        <v>5.4271210859999997</v>
      </c>
      <c r="J835" s="62">
        <f t="shared" si="252"/>
        <v>5.4271210859999997</v>
      </c>
      <c r="K835" s="62">
        <f t="shared" si="252"/>
        <v>5.4271210859999997</v>
      </c>
      <c r="L835" s="62">
        <f t="shared" si="252"/>
        <v>5.4271210859999997</v>
      </c>
      <c r="M835" s="62">
        <f t="shared" si="252"/>
        <v>5.4271210859999997</v>
      </c>
      <c r="N835" s="62">
        <f t="shared" si="252"/>
        <v>5.4271210859999997</v>
      </c>
      <c r="O835" s="62">
        <f t="shared" si="252"/>
        <v>5.4271210859999997</v>
      </c>
      <c r="P835" s="62">
        <f t="shared" si="251"/>
        <v>65.125453031999996</v>
      </c>
    </row>
    <row r="836" spans="3:19" x14ac:dyDescent="0.3">
      <c r="C836" s="90" t="s">
        <v>197</v>
      </c>
      <c r="D836" s="62">
        <f>[7]Sheet3!$N$16/1000000</f>
        <v>2.9826229625000003</v>
      </c>
      <c r="E836" s="62">
        <f t="shared" si="252"/>
        <v>2.9826229625000003</v>
      </c>
      <c r="F836" s="62">
        <f t="shared" si="252"/>
        <v>2.9826229625000003</v>
      </c>
      <c r="G836" s="62">
        <f t="shared" si="252"/>
        <v>2.9826229625000003</v>
      </c>
      <c r="H836" s="62">
        <f t="shared" si="252"/>
        <v>2.9826229625000003</v>
      </c>
      <c r="I836" s="62">
        <f t="shared" si="252"/>
        <v>2.9826229625000003</v>
      </c>
      <c r="J836" s="62">
        <f t="shared" si="252"/>
        <v>2.9826229625000003</v>
      </c>
      <c r="K836" s="62">
        <f t="shared" si="252"/>
        <v>2.9826229625000003</v>
      </c>
      <c r="L836" s="62">
        <f t="shared" si="252"/>
        <v>2.9826229625000003</v>
      </c>
      <c r="M836" s="62">
        <f t="shared" si="252"/>
        <v>2.9826229625000003</v>
      </c>
      <c r="N836" s="62">
        <f t="shared" si="252"/>
        <v>2.9826229625000003</v>
      </c>
      <c r="O836" s="62">
        <f t="shared" si="252"/>
        <v>2.9826229625000003</v>
      </c>
      <c r="P836" s="62">
        <f t="shared" si="251"/>
        <v>35.791475550000001</v>
      </c>
    </row>
    <row r="837" spans="3:19" x14ac:dyDescent="0.3">
      <c r="C837" s="90" t="s">
        <v>264</v>
      </c>
      <c r="D837" s="62">
        <f>[7]Sheet3!$H$16/1000000+(('[8]Budget Upah per cost center'!$D$27/12)/1000000)</f>
        <v>7.6521356750000002</v>
      </c>
      <c r="E837" s="62">
        <f t="shared" si="252"/>
        <v>7.6521356750000002</v>
      </c>
      <c r="F837" s="62">
        <f t="shared" si="252"/>
        <v>7.6521356750000002</v>
      </c>
      <c r="G837" s="62">
        <f t="shared" si="252"/>
        <v>7.6521356750000002</v>
      </c>
      <c r="H837" s="62">
        <f t="shared" si="252"/>
        <v>7.6521356750000002</v>
      </c>
      <c r="I837" s="62">
        <f t="shared" si="252"/>
        <v>7.6521356750000002</v>
      </c>
      <c r="J837" s="62">
        <f t="shared" si="252"/>
        <v>7.6521356750000002</v>
      </c>
      <c r="K837" s="62">
        <f t="shared" si="252"/>
        <v>7.6521356750000002</v>
      </c>
      <c r="L837" s="62">
        <f t="shared" si="252"/>
        <v>7.6521356750000002</v>
      </c>
      <c r="M837" s="62">
        <f t="shared" si="252"/>
        <v>7.6521356750000002</v>
      </c>
      <c r="N837" s="62">
        <f t="shared" si="252"/>
        <v>7.6521356750000002</v>
      </c>
      <c r="O837" s="62">
        <f t="shared" si="252"/>
        <v>7.6521356750000002</v>
      </c>
      <c r="P837" s="62">
        <f t="shared" si="251"/>
        <v>91.825628099999975</v>
      </c>
    </row>
    <row r="838" spans="3:19" x14ac:dyDescent="0.3">
      <c r="C838" s="90" t="s">
        <v>199</v>
      </c>
      <c r="D838" s="62">
        <f>([7]Sheet3!$J$16+[7]Sheet3!$K$16)/1000000+(('[9]Budget Benefit per cost center'!$C$27+'[9]Budget Benefit per cost center'!$D$27)/1000000)</f>
        <v>9.1840916666666672</v>
      </c>
      <c r="E838" s="62">
        <f t="shared" si="252"/>
        <v>9.1840916666666672</v>
      </c>
      <c r="F838" s="62">
        <f t="shared" si="252"/>
        <v>9.1840916666666672</v>
      </c>
      <c r="G838" s="62">
        <f t="shared" si="252"/>
        <v>9.1840916666666672</v>
      </c>
      <c r="H838" s="62">
        <f t="shared" si="252"/>
        <v>9.1840916666666672</v>
      </c>
      <c r="I838" s="62">
        <f t="shared" si="252"/>
        <v>9.1840916666666672</v>
      </c>
      <c r="J838" s="62">
        <f t="shared" si="252"/>
        <v>9.1840916666666672</v>
      </c>
      <c r="K838" s="62">
        <f t="shared" si="252"/>
        <v>9.1840916666666672</v>
      </c>
      <c r="L838" s="62">
        <f t="shared" si="252"/>
        <v>9.1840916666666672</v>
      </c>
      <c r="M838" s="62">
        <f t="shared" si="252"/>
        <v>9.1840916666666672</v>
      </c>
      <c r="N838" s="62">
        <f t="shared" si="252"/>
        <v>9.1840916666666672</v>
      </c>
      <c r="O838" s="62">
        <f t="shared" si="252"/>
        <v>9.1840916666666672</v>
      </c>
      <c r="P838" s="62">
        <f t="shared" si="251"/>
        <v>110.20909999999998</v>
      </c>
    </row>
    <row r="839" spans="3:19" x14ac:dyDescent="0.3">
      <c r="C839" s="90" t="s">
        <v>265</v>
      </c>
      <c r="D839" s="62">
        <f>'[13]Budget Depre'!$E$60/1000000</f>
        <v>177.905203</v>
      </c>
      <c r="E839" s="62">
        <f t="shared" si="252"/>
        <v>177.905203</v>
      </c>
      <c r="F839" s="62">
        <f t="shared" si="252"/>
        <v>177.905203</v>
      </c>
      <c r="G839" s="62">
        <f t="shared" si="252"/>
        <v>177.905203</v>
      </c>
      <c r="H839" s="62">
        <f t="shared" si="252"/>
        <v>177.905203</v>
      </c>
      <c r="I839" s="62">
        <f t="shared" si="252"/>
        <v>177.905203</v>
      </c>
      <c r="J839" s="62">
        <f t="shared" si="252"/>
        <v>177.905203</v>
      </c>
      <c r="K839" s="62">
        <f t="shared" si="252"/>
        <v>177.905203</v>
      </c>
      <c r="L839" s="62">
        <f t="shared" si="252"/>
        <v>177.905203</v>
      </c>
      <c r="M839" s="62">
        <f t="shared" si="252"/>
        <v>177.905203</v>
      </c>
      <c r="N839" s="62">
        <f t="shared" si="252"/>
        <v>177.905203</v>
      </c>
      <c r="O839" s="62">
        <f t="shared" si="252"/>
        <v>177.905203</v>
      </c>
      <c r="P839" s="62">
        <f t="shared" si="251"/>
        <v>2134.8624359999999</v>
      </c>
    </row>
    <row r="840" spans="3:19" x14ac:dyDescent="0.3">
      <c r="C840" s="90" t="s">
        <v>201</v>
      </c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>
        <f t="shared" si="251"/>
        <v>0</v>
      </c>
    </row>
    <row r="841" spans="3:19" ht="13.5" thickBot="1" x14ac:dyDescent="0.35">
      <c r="C841" s="90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</row>
    <row r="842" spans="3:19" ht="13.5" thickBot="1" x14ac:dyDescent="0.35">
      <c r="C842" s="92" t="s">
        <v>202</v>
      </c>
      <c r="D842" s="93">
        <f t="shared" ref="D842:O842" si="253">SUM(D825:D840)</f>
        <v>713.87621321816675</v>
      </c>
      <c r="E842" s="93">
        <f t="shared" si="253"/>
        <v>647.76621321816674</v>
      </c>
      <c r="F842" s="93">
        <f t="shared" si="253"/>
        <v>671.28621321816672</v>
      </c>
      <c r="G842" s="93">
        <f t="shared" si="253"/>
        <v>591.79621321816671</v>
      </c>
      <c r="H842" s="93">
        <f t="shared" si="253"/>
        <v>520.91621321816672</v>
      </c>
      <c r="I842" s="93">
        <f t="shared" si="253"/>
        <v>705.07621321816669</v>
      </c>
      <c r="J842" s="93">
        <f t="shared" si="253"/>
        <v>592.91621321816672</v>
      </c>
      <c r="K842" s="93">
        <f t="shared" si="253"/>
        <v>550.60621321816677</v>
      </c>
      <c r="L842" s="93">
        <f t="shared" si="253"/>
        <v>567.8062132181667</v>
      </c>
      <c r="M842" s="93">
        <f t="shared" si="253"/>
        <v>799.55621321816659</v>
      </c>
      <c r="N842" s="93">
        <f t="shared" si="253"/>
        <v>474.6862132181667</v>
      </c>
      <c r="O842" s="93">
        <f t="shared" si="253"/>
        <v>400.85621321816666</v>
      </c>
      <c r="P842" s="93">
        <v>9733570</v>
      </c>
    </row>
    <row r="845" spans="3:19" ht="13.5" thickBot="1" x14ac:dyDescent="0.35">
      <c r="C845" s="13" t="s">
        <v>266</v>
      </c>
    </row>
    <row r="846" spans="3:19" s="29" customFormat="1" ht="26.25" customHeight="1" thickBot="1" x14ac:dyDescent="0.4">
      <c r="C846" s="23" t="s">
        <v>69</v>
      </c>
      <c r="D846" s="24" t="s">
        <v>70</v>
      </c>
      <c r="E846" s="24" t="s">
        <v>71</v>
      </c>
      <c r="F846" s="24" t="s">
        <v>72</v>
      </c>
      <c r="G846" s="24" t="s">
        <v>73</v>
      </c>
      <c r="H846" s="24" t="s">
        <v>74</v>
      </c>
      <c r="I846" s="24" t="s">
        <v>75</v>
      </c>
      <c r="J846" s="24" t="s">
        <v>76</v>
      </c>
      <c r="K846" s="24" t="s">
        <v>77</v>
      </c>
      <c r="L846" s="24" t="s">
        <v>78</v>
      </c>
      <c r="M846" s="24" t="s">
        <v>79</v>
      </c>
      <c r="N846" s="24" t="s">
        <v>80</v>
      </c>
      <c r="O846" s="24" t="s">
        <v>81</v>
      </c>
      <c r="P846" s="25" t="s">
        <v>82</v>
      </c>
      <c r="Q846" s="129"/>
      <c r="R846" s="130"/>
      <c r="S846" s="28"/>
    </row>
    <row r="847" spans="3:19" x14ac:dyDescent="0.3">
      <c r="C847" s="90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</row>
    <row r="848" spans="3:19" x14ac:dyDescent="0.3">
      <c r="C848" s="90" t="s">
        <v>186</v>
      </c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>
        <f>SUM(D848:O848)</f>
        <v>0</v>
      </c>
    </row>
    <row r="849" spans="3:16" x14ac:dyDescent="0.3">
      <c r="C849" s="90" t="s">
        <v>187</v>
      </c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>
        <f t="shared" ref="P849:P862" si="254">SUM(D849:O849)</f>
        <v>0</v>
      </c>
    </row>
    <row r="850" spans="3:16" x14ac:dyDescent="0.3">
      <c r="C850" s="90" t="s">
        <v>188</v>
      </c>
      <c r="D850" s="62">
        <f>'[21]Rekap Expenses'!B28/1000-250</f>
        <v>493.09607353105866</v>
      </c>
      <c r="E850" s="62">
        <f>'[21]Rekap Expenses'!C28/1000-250</f>
        <v>486.70415513939645</v>
      </c>
      <c r="F850" s="62">
        <f>'[21]Rekap Expenses'!D28/1000-250</f>
        <v>548.66511556238743</v>
      </c>
      <c r="G850" s="62">
        <f>'[21]Rekap Expenses'!E28/1000-250</f>
        <v>372.75329875638295</v>
      </c>
      <c r="H850" s="62">
        <f>'[21]Rekap Expenses'!F28/1000-250</f>
        <v>749.0580288357072</v>
      </c>
      <c r="I850" s="62">
        <f>'[21]Rekap Expenses'!G28/1000-250</f>
        <v>758.86868357248193</v>
      </c>
      <c r="J850" s="62">
        <f>'[21]Rekap Expenses'!H28/1000-250</f>
        <v>931.02864795634696</v>
      </c>
      <c r="K850" s="62">
        <f>'[21]Rekap Expenses'!I28/1000-250</f>
        <v>1003.7311352758556</v>
      </c>
      <c r="L850" s="62">
        <f>'[21]Rekap Expenses'!J28/1000-250</f>
        <v>1083.4111464974774</v>
      </c>
      <c r="M850" s="62">
        <f>'[21]Rekap Expenses'!K28/1000-250</f>
        <v>1082.9544265207205</v>
      </c>
      <c r="N850" s="62">
        <f>'[21]Rekap Expenses'!L28/1000-250</f>
        <v>1041.6995549517703</v>
      </c>
      <c r="O850" s="62">
        <f>'[21]Rekap Expenses'!M28/1000-250</f>
        <v>1002.2263333953647</v>
      </c>
      <c r="P850" s="62">
        <f t="shared" si="254"/>
        <v>9554.1965999949516</v>
      </c>
    </row>
    <row r="851" spans="3:16" x14ac:dyDescent="0.3">
      <c r="C851" s="90" t="s">
        <v>189</v>
      </c>
      <c r="D851" s="62">
        <f>'[21]Rekap Expenses'!B29/1000</f>
        <v>0</v>
      </c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>
        <f t="shared" si="254"/>
        <v>0</v>
      </c>
    </row>
    <row r="852" spans="3:16" x14ac:dyDescent="0.3">
      <c r="C852" s="90" t="s">
        <v>190</v>
      </c>
      <c r="D852" s="62">
        <f>'[21]Rekap Expenses'!B30/1000</f>
        <v>15.96</v>
      </c>
      <c r="E852" s="62">
        <f>'[21]Rekap Expenses'!C30/1000</f>
        <v>20.56</v>
      </c>
      <c r="F852" s="62">
        <f>'[21]Rekap Expenses'!D30/1000</f>
        <v>28.16</v>
      </c>
      <c r="G852" s="62">
        <f>'[21]Rekap Expenses'!E30/1000</f>
        <v>5.92</v>
      </c>
      <c r="H852" s="62">
        <f>'[21]Rekap Expenses'!F30/1000</f>
        <v>17.559999999999999</v>
      </c>
      <c r="I852" s="62">
        <f>'[21]Rekap Expenses'!G30/1000</f>
        <v>19.2</v>
      </c>
      <c r="J852" s="62">
        <f>'[21]Rekap Expenses'!H30/1000</f>
        <v>37</v>
      </c>
      <c r="K852" s="62">
        <f>'[21]Rekap Expenses'!I30/1000</f>
        <v>22.4</v>
      </c>
      <c r="L852" s="62">
        <f>'[21]Rekap Expenses'!J30/1000</f>
        <v>16.559999999999999</v>
      </c>
      <c r="M852" s="62">
        <f>'[21]Rekap Expenses'!K30/1000</f>
        <v>23.36</v>
      </c>
      <c r="N852" s="62">
        <f>'[21]Rekap Expenses'!L30/1000</f>
        <v>53.63</v>
      </c>
      <c r="O852" s="62">
        <f>'[21]Rekap Expenses'!M30/1000</f>
        <v>32.68</v>
      </c>
      <c r="P852" s="62">
        <f t="shared" si="254"/>
        <v>292.99</v>
      </c>
    </row>
    <row r="853" spans="3:16" x14ac:dyDescent="0.3">
      <c r="C853" s="90" t="s">
        <v>191</v>
      </c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>
        <f t="shared" si="254"/>
        <v>0</v>
      </c>
    </row>
    <row r="854" spans="3:16" x14ac:dyDescent="0.3">
      <c r="C854" s="90" t="s">
        <v>192</v>
      </c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>
        <f t="shared" si="254"/>
        <v>0</v>
      </c>
    </row>
    <row r="855" spans="3:16" x14ac:dyDescent="0.3">
      <c r="C855" s="90" t="s">
        <v>263</v>
      </c>
      <c r="D855" s="62">
        <f>'[21]Rekap Expenses'!B33/1000</f>
        <v>0.2</v>
      </c>
      <c r="E855" s="62">
        <f>'[21]Rekap Expenses'!C33/1000</f>
        <v>0.2</v>
      </c>
      <c r="F855" s="62">
        <f>'[21]Rekap Expenses'!D33/1000</f>
        <v>0.2</v>
      </c>
      <c r="G855" s="62">
        <f>'[21]Rekap Expenses'!E33/1000</f>
        <v>0.2</v>
      </c>
      <c r="H855" s="62">
        <f>'[21]Rekap Expenses'!F33/1000</f>
        <v>0.2</v>
      </c>
      <c r="I855" s="62">
        <f>'[21]Rekap Expenses'!G33/1000</f>
        <v>0.2</v>
      </c>
      <c r="J855" s="62">
        <f>'[21]Rekap Expenses'!H33/1000</f>
        <v>0.2</v>
      </c>
      <c r="K855" s="62">
        <f>'[21]Rekap Expenses'!I33/1000</f>
        <v>0.2</v>
      </c>
      <c r="L855" s="62">
        <f>'[21]Rekap Expenses'!J33/1000</f>
        <v>0.2</v>
      </c>
      <c r="M855" s="62">
        <f>'[21]Rekap Expenses'!K33/1000</f>
        <v>0.2</v>
      </c>
      <c r="N855" s="62">
        <f>'[21]Rekap Expenses'!L33/1000</f>
        <v>0.2</v>
      </c>
      <c r="O855" s="62">
        <f>'[21]Rekap Expenses'!M33/1000</f>
        <v>0.2</v>
      </c>
      <c r="P855" s="62">
        <f t="shared" si="254"/>
        <v>2.4</v>
      </c>
    </row>
    <row r="856" spans="3:16" x14ac:dyDescent="0.3">
      <c r="C856" s="90" t="s">
        <v>194</v>
      </c>
      <c r="D856" s="62">
        <f>[7]Sheet3!G18/1000000+('[8]Budget Upah per cost center'!$C$28/1000000)</f>
        <v>177.20868755000001</v>
      </c>
      <c r="E856" s="62">
        <f t="shared" ref="E856:O861" si="255">D856</f>
        <v>177.20868755000001</v>
      </c>
      <c r="F856" s="62">
        <f t="shared" si="255"/>
        <v>177.20868755000001</v>
      </c>
      <c r="G856" s="62">
        <f t="shared" si="255"/>
        <v>177.20868755000001</v>
      </c>
      <c r="H856" s="62">
        <f t="shared" si="255"/>
        <v>177.20868755000001</v>
      </c>
      <c r="I856" s="62">
        <f t="shared" si="255"/>
        <v>177.20868755000001</v>
      </c>
      <c r="J856" s="62">
        <f t="shared" si="255"/>
        <v>177.20868755000001</v>
      </c>
      <c r="K856" s="62">
        <f t="shared" si="255"/>
        <v>177.20868755000001</v>
      </c>
      <c r="L856" s="62">
        <f t="shared" si="255"/>
        <v>177.20868755000001</v>
      </c>
      <c r="M856" s="62">
        <f t="shared" si="255"/>
        <v>177.20868755000001</v>
      </c>
      <c r="N856" s="62">
        <f t="shared" si="255"/>
        <v>177.20868755000001</v>
      </c>
      <c r="O856" s="62">
        <f t="shared" si="255"/>
        <v>177.20868755000001</v>
      </c>
      <c r="P856" s="62">
        <f t="shared" si="254"/>
        <v>2126.5042505999995</v>
      </c>
    </row>
    <row r="857" spans="3:16" x14ac:dyDescent="0.3">
      <c r="C857" s="90" t="s">
        <v>195</v>
      </c>
      <c r="D857" s="62">
        <f>([7]Sheet3!$I$18+[7]Sheet3!$M$18)/1000000+(('[9]Budget Benefit per cost center'!$E$28+'[9]Budget Benefit per cost center'!$F$28)/1000000)</f>
        <v>14.658289966333335</v>
      </c>
      <c r="E857" s="62">
        <f t="shared" si="255"/>
        <v>14.658289966333335</v>
      </c>
      <c r="F857" s="62">
        <f t="shared" si="255"/>
        <v>14.658289966333335</v>
      </c>
      <c r="G857" s="62">
        <f t="shared" si="255"/>
        <v>14.658289966333335</v>
      </c>
      <c r="H857" s="62">
        <f t="shared" si="255"/>
        <v>14.658289966333335</v>
      </c>
      <c r="I857" s="62">
        <f t="shared" si="255"/>
        <v>14.658289966333335</v>
      </c>
      <c r="J857" s="62">
        <f t="shared" si="255"/>
        <v>14.658289966333335</v>
      </c>
      <c r="K857" s="62">
        <f t="shared" si="255"/>
        <v>14.658289966333335</v>
      </c>
      <c r="L857" s="62">
        <f t="shared" si="255"/>
        <v>14.658289966333335</v>
      </c>
      <c r="M857" s="62">
        <f t="shared" si="255"/>
        <v>14.658289966333335</v>
      </c>
      <c r="N857" s="62">
        <f t="shared" si="255"/>
        <v>14.658289966333335</v>
      </c>
      <c r="O857" s="62">
        <f t="shared" si="255"/>
        <v>14.658289966333335</v>
      </c>
      <c r="P857" s="62">
        <f t="shared" si="254"/>
        <v>175.89947959600008</v>
      </c>
    </row>
    <row r="858" spans="3:16" x14ac:dyDescent="0.3">
      <c r="C858" s="90" t="s">
        <v>196</v>
      </c>
      <c r="D858" s="62">
        <f>[7]Sheet3!$L$18/1000000+('[9]Budget Benefit per cost center'!$G$28/1000000)</f>
        <v>9.4908037529999998</v>
      </c>
      <c r="E858" s="62">
        <f t="shared" si="255"/>
        <v>9.4908037529999998</v>
      </c>
      <c r="F858" s="62">
        <f t="shared" si="255"/>
        <v>9.4908037529999998</v>
      </c>
      <c r="G858" s="62">
        <f t="shared" si="255"/>
        <v>9.4908037529999998</v>
      </c>
      <c r="H858" s="62">
        <f t="shared" si="255"/>
        <v>9.4908037529999998</v>
      </c>
      <c r="I858" s="62">
        <f t="shared" si="255"/>
        <v>9.4908037529999998</v>
      </c>
      <c r="J858" s="62">
        <f t="shared" si="255"/>
        <v>9.4908037529999998</v>
      </c>
      <c r="K858" s="62">
        <f t="shared" si="255"/>
        <v>9.4908037529999998</v>
      </c>
      <c r="L858" s="62">
        <f t="shared" si="255"/>
        <v>9.4908037529999998</v>
      </c>
      <c r="M858" s="62">
        <f t="shared" si="255"/>
        <v>9.4908037529999998</v>
      </c>
      <c r="N858" s="62">
        <f t="shared" si="255"/>
        <v>9.4908037529999998</v>
      </c>
      <c r="O858" s="62">
        <f t="shared" si="255"/>
        <v>9.4908037529999998</v>
      </c>
      <c r="P858" s="62">
        <f t="shared" si="254"/>
        <v>113.88964503599998</v>
      </c>
    </row>
    <row r="859" spans="3:16" x14ac:dyDescent="0.3">
      <c r="C859" s="90" t="s">
        <v>197</v>
      </c>
      <c r="D859" s="62">
        <f>[7]Sheet3!$N$18/1000000</f>
        <v>1.4206864812500002</v>
      </c>
      <c r="E859" s="62">
        <f t="shared" si="255"/>
        <v>1.4206864812500002</v>
      </c>
      <c r="F859" s="62">
        <f t="shared" si="255"/>
        <v>1.4206864812500002</v>
      </c>
      <c r="G859" s="62">
        <f t="shared" si="255"/>
        <v>1.4206864812500002</v>
      </c>
      <c r="H859" s="62">
        <f t="shared" si="255"/>
        <v>1.4206864812500002</v>
      </c>
      <c r="I859" s="62">
        <f t="shared" si="255"/>
        <v>1.4206864812500002</v>
      </c>
      <c r="J859" s="62">
        <f t="shared" si="255"/>
        <v>1.4206864812500002</v>
      </c>
      <c r="K859" s="62">
        <f t="shared" si="255"/>
        <v>1.4206864812500002</v>
      </c>
      <c r="L859" s="62">
        <f t="shared" si="255"/>
        <v>1.4206864812500002</v>
      </c>
      <c r="M859" s="62">
        <f t="shared" si="255"/>
        <v>1.4206864812500002</v>
      </c>
      <c r="N859" s="62">
        <f t="shared" si="255"/>
        <v>1.4206864812500002</v>
      </c>
      <c r="O859" s="62">
        <f t="shared" si="255"/>
        <v>1.4206864812500002</v>
      </c>
      <c r="P859" s="62">
        <f t="shared" si="254"/>
        <v>17.048237775</v>
      </c>
    </row>
    <row r="860" spans="3:16" x14ac:dyDescent="0.3">
      <c r="C860" s="90" t="s">
        <v>264</v>
      </c>
      <c r="D860" s="62">
        <f>[7]Sheet3!$H$18/1000000+(('[8]Budget Upah per cost center'!$D$28/12)/1000000)</f>
        <v>14.154890629166665</v>
      </c>
      <c r="E860" s="62">
        <f t="shared" si="255"/>
        <v>14.154890629166665</v>
      </c>
      <c r="F860" s="62">
        <f t="shared" si="255"/>
        <v>14.154890629166665</v>
      </c>
      <c r="G860" s="62">
        <f t="shared" si="255"/>
        <v>14.154890629166665</v>
      </c>
      <c r="H860" s="62">
        <f t="shared" si="255"/>
        <v>14.154890629166665</v>
      </c>
      <c r="I860" s="62">
        <f t="shared" si="255"/>
        <v>14.154890629166665</v>
      </c>
      <c r="J860" s="62">
        <f t="shared" si="255"/>
        <v>14.154890629166665</v>
      </c>
      <c r="K860" s="62">
        <f t="shared" si="255"/>
        <v>14.154890629166665</v>
      </c>
      <c r="L860" s="62">
        <f t="shared" si="255"/>
        <v>14.154890629166665</v>
      </c>
      <c r="M860" s="62">
        <f t="shared" si="255"/>
        <v>14.154890629166665</v>
      </c>
      <c r="N860" s="62">
        <f t="shared" si="255"/>
        <v>14.154890629166665</v>
      </c>
      <c r="O860" s="62">
        <f t="shared" si="255"/>
        <v>14.154890629166665</v>
      </c>
      <c r="P860" s="62">
        <f t="shared" si="254"/>
        <v>169.85868754999993</v>
      </c>
    </row>
    <row r="861" spans="3:16" x14ac:dyDescent="0.3">
      <c r="C861" s="90" t="s">
        <v>199</v>
      </c>
      <c r="D861" s="62">
        <f>([7]Sheet3!$J$18+[7]Sheet3!$K$18)/1000000+('[9]Budget Benefit per cost center'!$C$28/1000000)</f>
        <v>5.9564958333333333</v>
      </c>
      <c r="E861" s="62">
        <f t="shared" si="255"/>
        <v>5.9564958333333333</v>
      </c>
      <c r="F861" s="62">
        <f t="shared" si="255"/>
        <v>5.9564958333333333</v>
      </c>
      <c r="G861" s="62">
        <f t="shared" si="255"/>
        <v>5.9564958333333333</v>
      </c>
      <c r="H861" s="62">
        <f t="shared" si="255"/>
        <v>5.9564958333333333</v>
      </c>
      <c r="I861" s="62">
        <f t="shared" si="255"/>
        <v>5.9564958333333333</v>
      </c>
      <c r="J861" s="62">
        <f t="shared" si="255"/>
        <v>5.9564958333333333</v>
      </c>
      <c r="K861" s="62">
        <f t="shared" si="255"/>
        <v>5.9564958333333333</v>
      </c>
      <c r="L861" s="62">
        <f t="shared" si="255"/>
        <v>5.9564958333333333</v>
      </c>
      <c r="M861" s="62">
        <f t="shared" si="255"/>
        <v>5.9564958333333333</v>
      </c>
      <c r="N861" s="62">
        <f t="shared" si="255"/>
        <v>5.9564958333333333</v>
      </c>
      <c r="O861" s="62">
        <f t="shared" si="255"/>
        <v>5.9564958333333333</v>
      </c>
      <c r="P861" s="62">
        <f t="shared" si="254"/>
        <v>71.477950000000007</v>
      </c>
    </row>
    <row r="862" spans="3:16" x14ac:dyDescent="0.3">
      <c r="C862" s="90" t="s">
        <v>201</v>
      </c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>
        <f t="shared" si="254"/>
        <v>0</v>
      </c>
    </row>
    <row r="863" spans="3:16" ht="13.5" thickBot="1" x14ac:dyDescent="0.35">
      <c r="C863" s="90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</row>
    <row r="864" spans="3:16" ht="13.5" thickBot="1" x14ac:dyDescent="0.35">
      <c r="C864" s="92" t="s">
        <v>202</v>
      </c>
      <c r="D864" s="93">
        <f t="shared" ref="D864:O864" si="256">SUM(D848:D862)</f>
        <v>732.14592774414189</v>
      </c>
      <c r="E864" s="93">
        <f t="shared" si="256"/>
        <v>730.35400935247969</v>
      </c>
      <c r="F864" s="93">
        <f t="shared" si="256"/>
        <v>799.91496977547069</v>
      </c>
      <c r="G864" s="93">
        <f t="shared" si="256"/>
        <v>601.7631529694662</v>
      </c>
      <c r="H864" s="93">
        <f t="shared" si="256"/>
        <v>989.70788304879045</v>
      </c>
      <c r="I864" s="93">
        <f t="shared" si="256"/>
        <v>1001.1585377855653</v>
      </c>
      <c r="J864" s="93">
        <f t="shared" si="256"/>
        <v>1191.11850216943</v>
      </c>
      <c r="K864" s="93">
        <f t="shared" si="256"/>
        <v>1249.2209894889388</v>
      </c>
      <c r="L864" s="93">
        <f t="shared" si="256"/>
        <v>1323.0610007105604</v>
      </c>
      <c r="M864" s="93">
        <f t="shared" si="256"/>
        <v>1329.4042807338035</v>
      </c>
      <c r="N864" s="93">
        <f t="shared" si="256"/>
        <v>1318.4194091648535</v>
      </c>
      <c r="O864" s="93">
        <f t="shared" si="256"/>
        <v>1257.9961876084478</v>
      </c>
      <c r="P864" s="93">
        <v>9733570</v>
      </c>
    </row>
    <row r="867" spans="3:19" ht="13.5" thickBot="1" x14ac:dyDescent="0.35">
      <c r="C867" s="13" t="s">
        <v>90</v>
      </c>
    </row>
    <row r="868" spans="3:19" s="29" customFormat="1" ht="26.25" customHeight="1" thickBot="1" x14ac:dyDescent="0.4">
      <c r="C868" s="23" t="s">
        <v>69</v>
      </c>
      <c r="D868" s="24" t="s">
        <v>70</v>
      </c>
      <c r="E868" s="24" t="s">
        <v>71</v>
      </c>
      <c r="F868" s="24" t="s">
        <v>72</v>
      </c>
      <c r="G868" s="24" t="s">
        <v>73</v>
      </c>
      <c r="H868" s="24" t="s">
        <v>74</v>
      </c>
      <c r="I868" s="24" t="s">
        <v>75</v>
      </c>
      <c r="J868" s="24" t="s">
        <v>76</v>
      </c>
      <c r="K868" s="24" t="s">
        <v>77</v>
      </c>
      <c r="L868" s="24" t="s">
        <v>78</v>
      </c>
      <c r="M868" s="24" t="s">
        <v>79</v>
      </c>
      <c r="N868" s="24" t="s">
        <v>80</v>
      </c>
      <c r="O868" s="24" t="s">
        <v>81</v>
      </c>
      <c r="P868" s="25" t="s">
        <v>82</v>
      </c>
      <c r="Q868" s="129"/>
      <c r="R868" s="130"/>
      <c r="S868" s="28"/>
    </row>
    <row r="869" spans="3:19" x14ac:dyDescent="0.3">
      <c r="C869" s="90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</row>
    <row r="870" spans="3:19" x14ac:dyDescent="0.3">
      <c r="C870" s="90" t="s">
        <v>186</v>
      </c>
      <c r="D870" s="62">
        <f>'[21]Rekap Expenses'!B43/1000</f>
        <v>12</v>
      </c>
      <c r="E870" s="62">
        <f>'[21]Rekap Expenses'!C43/1000</f>
        <v>0</v>
      </c>
      <c r="F870" s="62">
        <f>'[21]Rekap Expenses'!D43/1000</f>
        <v>0</v>
      </c>
      <c r="G870" s="62">
        <f>'[21]Rekap Expenses'!E43/1000</f>
        <v>0</v>
      </c>
      <c r="H870" s="62">
        <f>'[21]Rekap Expenses'!F43/1000</f>
        <v>0</v>
      </c>
      <c r="I870" s="62">
        <f>'[21]Rekap Expenses'!G43/1000</f>
        <v>0</v>
      </c>
      <c r="J870" s="62">
        <f>'[21]Rekap Expenses'!H43/1000</f>
        <v>0</v>
      </c>
      <c r="K870" s="62">
        <f>'[21]Rekap Expenses'!I43/1000</f>
        <v>0</v>
      </c>
      <c r="L870" s="62">
        <f>'[21]Rekap Expenses'!J43/1000</f>
        <v>0</v>
      </c>
      <c r="M870" s="62">
        <f>'[21]Rekap Expenses'!K43/1000</f>
        <v>0</v>
      </c>
      <c r="N870" s="62">
        <f>'[21]Rekap Expenses'!L43/1000</f>
        <v>0</v>
      </c>
      <c r="O870" s="62">
        <f>'[21]Rekap Expenses'!M43/1000</f>
        <v>0</v>
      </c>
      <c r="P870" s="62">
        <f>SUM(D870:O870)</f>
        <v>12</v>
      </c>
    </row>
    <row r="871" spans="3:19" x14ac:dyDescent="0.3">
      <c r="C871" s="90" t="s">
        <v>187</v>
      </c>
      <c r="D871" s="62">
        <f>'[21]Rekap Expenses'!B44/1000</f>
        <v>12.3</v>
      </c>
      <c r="E871" s="62">
        <f>'[21]Rekap Expenses'!C44/1000</f>
        <v>39.5</v>
      </c>
      <c r="F871" s="62">
        <f>'[21]Rekap Expenses'!D44/1000</f>
        <v>39.5</v>
      </c>
      <c r="G871" s="62">
        <f>'[21]Rekap Expenses'!E44/1000</f>
        <v>12.3</v>
      </c>
      <c r="H871" s="62">
        <f>'[21]Rekap Expenses'!F44/1000</f>
        <v>39.5</v>
      </c>
      <c r="I871" s="62">
        <f>'[21]Rekap Expenses'!G44/1000</f>
        <v>12.3</v>
      </c>
      <c r="J871" s="62">
        <f>'[21]Rekap Expenses'!H44/1000</f>
        <v>39.5</v>
      </c>
      <c r="K871" s="62">
        <f>'[21]Rekap Expenses'!I44/1000</f>
        <v>39.5</v>
      </c>
      <c r="L871" s="62">
        <f>'[21]Rekap Expenses'!J44/1000</f>
        <v>39.5</v>
      </c>
      <c r="M871" s="62">
        <f>'[21]Rekap Expenses'!K44/1000</f>
        <v>39.5</v>
      </c>
      <c r="N871" s="62">
        <f>'[21]Rekap Expenses'!L44/1000</f>
        <v>39.5</v>
      </c>
      <c r="O871" s="62">
        <f>'[21]Rekap Expenses'!M44/1000</f>
        <v>39.5</v>
      </c>
      <c r="P871" s="62">
        <f t="shared" ref="P871:P884" si="257">SUM(D871:O871)</f>
        <v>392.4</v>
      </c>
    </row>
    <row r="872" spans="3:19" x14ac:dyDescent="0.3">
      <c r="C872" s="90" t="s">
        <v>188</v>
      </c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>
        <f t="shared" si="257"/>
        <v>0</v>
      </c>
    </row>
    <row r="873" spans="3:19" x14ac:dyDescent="0.3">
      <c r="C873" s="90" t="s">
        <v>189</v>
      </c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>
        <f t="shared" si="257"/>
        <v>0</v>
      </c>
    </row>
    <row r="874" spans="3:19" x14ac:dyDescent="0.3">
      <c r="C874" s="90" t="s">
        <v>190</v>
      </c>
      <c r="D874" s="62">
        <f>'[21]Rekap Expenses'!B47/1000</f>
        <v>0.47</v>
      </c>
      <c r="E874" s="62">
        <f>'[21]Rekap Expenses'!C47/1000</f>
        <v>0.94</v>
      </c>
      <c r="F874" s="62">
        <f>'[21]Rekap Expenses'!D47/1000</f>
        <v>9.9600000000000009</v>
      </c>
      <c r="G874" s="62">
        <f>'[21]Rekap Expenses'!E47/1000</f>
        <v>0.47</v>
      </c>
      <c r="H874" s="62">
        <f>'[21]Rekap Expenses'!F47/1000</f>
        <v>0.47</v>
      </c>
      <c r="I874" s="62">
        <f>'[21]Rekap Expenses'!G47/1000</f>
        <v>0.47</v>
      </c>
      <c r="J874" s="62">
        <f>'[21]Rekap Expenses'!H47/1000</f>
        <v>0.47</v>
      </c>
      <c r="K874" s="62">
        <f>'[21]Rekap Expenses'!I47/1000</f>
        <v>0.47</v>
      </c>
      <c r="L874" s="62">
        <f>'[21]Rekap Expenses'!J47/1000</f>
        <v>0.47</v>
      </c>
      <c r="M874" s="62">
        <f>'[21]Rekap Expenses'!K47/1000</f>
        <v>0.47</v>
      </c>
      <c r="N874" s="62">
        <f>'[21]Rekap Expenses'!L47/1000</f>
        <v>0.47</v>
      </c>
      <c r="O874" s="62">
        <f>'[21]Rekap Expenses'!M47/1000</f>
        <v>0.47</v>
      </c>
      <c r="P874" s="62">
        <f t="shared" si="257"/>
        <v>15.600000000000007</v>
      </c>
    </row>
    <row r="875" spans="3:19" x14ac:dyDescent="0.3">
      <c r="C875" s="90" t="s">
        <v>191</v>
      </c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>
        <f t="shared" si="257"/>
        <v>0</v>
      </c>
    </row>
    <row r="876" spans="3:19" x14ac:dyDescent="0.3">
      <c r="C876" s="90" t="s">
        <v>192</v>
      </c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>
        <f t="shared" si="257"/>
        <v>0</v>
      </c>
    </row>
    <row r="877" spans="3:19" x14ac:dyDescent="0.3">
      <c r="C877" s="90" t="s">
        <v>263</v>
      </c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>
        <f t="shared" si="257"/>
        <v>0</v>
      </c>
    </row>
    <row r="878" spans="3:19" ht="15" customHeight="1" x14ac:dyDescent="0.3">
      <c r="C878" s="90" t="s">
        <v>194</v>
      </c>
      <c r="D878" s="62">
        <f>[7]Sheet3!$G$17/1000000+('[8]Budget Upah per cost center'!$C$26/1000000)</f>
        <v>38.952489329999999</v>
      </c>
      <c r="E878" s="62">
        <f>D878</f>
        <v>38.952489329999999</v>
      </c>
      <c r="F878" s="62">
        <f t="shared" ref="F878:O878" si="258">E878</f>
        <v>38.952489329999999</v>
      </c>
      <c r="G878" s="62">
        <f t="shared" si="258"/>
        <v>38.952489329999999</v>
      </c>
      <c r="H878" s="62">
        <f t="shared" si="258"/>
        <v>38.952489329999999</v>
      </c>
      <c r="I878" s="62">
        <f t="shared" si="258"/>
        <v>38.952489329999999</v>
      </c>
      <c r="J878" s="62">
        <f t="shared" si="258"/>
        <v>38.952489329999999</v>
      </c>
      <c r="K878" s="62">
        <f t="shared" si="258"/>
        <v>38.952489329999999</v>
      </c>
      <c r="L878" s="62">
        <f t="shared" si="258"/>
        <v>38.952489329999999</v>
      </c>
      <c r="M878" s="62">
        <f t="shared" si="258"/>
        <v>38.952489329999999</v>
      </c>
      <c r="N878" s="62">
        <f t="shared" si="258"/>
        <v>38.952489329999999</v>
      </c>
      <c r="O878" s="62">
        <f t="shared" si="258"/>
        <v>38.952489329999999</v>
      </c>
      <c r="P878" s="62">
        <f t="shared" ref="P878:P883" si="259">D878+E878+F878+G878+H878+I878+J878+K878+L878+M878+N878+O878</f>
        <v>467.42987195999996</v>
      </c>
    </row>
    <row r="879" spans="3:19" x14ac:dyDescent="0.3">
      <c r="C879" s="90" t="s">
        <v>195</v>
      </c>
      <c r="D879" s="62">
        <f>([7]Sheet3!$I$17+[7]Sheet3!$M$17)/1000000+(('[9]Budget Benefit per cost center'!$E$26+'[9]Budget Benefit per cost center'!$F$26)/1000000)</f>
        <v>1.9476329401666668</v>
      </c>
      <c r="E879" s="62">
        <f t="shared" ref="E879:O883" si="260">D879</f>
        <v>1.9476329401666668</v>
      </c>
      <c r="F879" s="62">
        <f t="shared" si="260"/>
        <v>1.9476329401666668</v>
      </c>
      <c r="G879" s="62">
        <f t="shared" si="260"/>
        <v>1.9476329401666668</v>
      </c>
      <c r="H879" s="62">
        <f t="shared" si="260"/>
        <v>1.9476329401666668</v>
      </c>
      <c r="I879" s="62">
        <f t="shared" si="260"/>
        <v>1.9476329401666668</v>
      </c>
      <c r="J879" s="62">
        <f t="shared" si="260"/>
        <v>1.9476329401666668</v>
      </c>
      <c r="K879" s="62">
        <f t="shared" si="260"/>
        <v>1.9476329401666668</v>
      </c>
      <c r="L879" s="62">
        <f t="shared" si="260"/>
        <v>1.9476329401666668</v>
      </c>
      <c r="M879" s="62">
        <f t="shared" si="260"/>
        <v>1.9476329401666668</v>
      </c>
      <c r="N879" s="62">
        <f t="shared" si="260"/>
        <v>1.9476329401666668</v>
      </c>
      <c r="O879" s="62">
        <f t="shared" si="260"/>
        <v>1.9476329401666668</v>
      </c>
      <c r="P879" s="62">
        <f t="shared" si="259"/>
        <v>23.371595282000001</v>
      </c>
    </row>
    <row r="880" spans="3:19" x14ac:dyDescent="0.3">
      <c r="C880" s="90" t="s">
        <v>196</v>
      </c>
      <c r="D880" s="62">
        <f>[7]Sheet3!$L$17/1000000+('[9]Budget Benefit per cost center'!$G$26/1000000)</f>
        <v>2.0410493598000001</v>
      </c>
      <c r="E880" s="62">
        <f t="shared" si="260"/>
        <v>2.0410493598000001</v>
      </c>
      <c r="F880" s="62">
        <f t="shared" si="260"/>
        <v>2.0410493598000001</v>
      </c>
      <c r="G880" s="62">
        <f t="shared" si="260"/>
        <v>2.0410493598000001</v>
      </c>
      <c r="H880" s="62">
        <f t="shared" si="260"/>
        <v>2.0410493598000001</v>
      </c>
      <c r="I880" s="62">
        <f t="shared" si="260"/>
        <v>2.0410493598000001</v>
      </c>
      <c r="J880" s="62">
        <f t="shared" si="260"/>
        <v>2.0410493598000001</v>
      </c>
      <c r="K880" s="62">
        <f t="shared" si="260"/>
        <v>2.0410493598000001</v>
      </c>
      <c r="L880" s="62">
        <f t="shared" si="260"/>
        <v>2.0410493598000001</v>
      </c>
      <c r="M880" s="62">
        <f t="shared" si="260"/>
        <v>2.0410493598000001</v>
      </c>
      <c r="N880" s="62">
        <f t="shared" si="260"/>
        <v>2.0410493598000001</v>
      </c>
      <c r="O880" s="62">
        <f t="shared" si="260"/>
        <v>2.0410493598000001</v>
      </c>
      <c r="P880" s="62">
        <f t="shared" si="259"/>
        <v>24.492592317599996</v>
      </c>
    </row>
    <row r="881" spans="3:19" x14ac:dyDescent="0.3">
      <c r="C881" s="90" t="s">
        <v>197</v>
      </c>
      <c r="D881" s="62">
        <f>[7]Sheet3!$N$17/1000000</f>
        <v>1.0033702220833334</v>
      </c>
      <c r="E881" s="62">
        <f t="shared" si="260"/>
        <v>1.0033702220833334</v>
      </c>
      <c r="F881" s="62">
        <f t="shared" si="260"/>
        <v>1.0033702220833334</v>
      </c>
      <c r="G881" s="62">
        <f t="shared" si="260"/>
        <v>1.0033702220833334</v>
      </c>
      <c r="H881" s="62">
        <f t="shared" si="260"/>
        <v>1.0033702220833334</v>
      </c>
      <c r="I881" s="62">
        <f t="shared" si="260"/>
        <v>1.0033702220833334</v>
      </c>
      <c r="J881" s="62">
        <f t="shared" si="260"/>
        <v>1.0033702220833334</v>
      </c>
      <c r="K881" s="62">
        <f t="shared" si="260"/>
        <v>1.0033702220833334</v>
      </c>
      <c r="L881" s="62">
        <f t="shared" si="260"/>
        <v>1.0033702220833334</v>
      </c>
      <c r="M881" s="62">
        <f t="shared" si="260"/>
        <v>1.0033702220833334</v>
      </c>
      <c r="N881" s="62">
        <f t="shared" si="260"/>
        <v>1.0033702220833334</v>
      </c>
      <c r="O881" s="62">
        <f t="shared" si="260"/>
        <v>1.0033702220833334</v>
      </c>
      <c r="P881" s="62">
        <f t="shared" si="259"/>
        <v>12.040442665</v>
      </c>
    </row>
    <row r="882" spans="3:19" x14ac:dyDescent="0.3">
      <c r="C882" s="90" t="s">
        <v>264</v>
      </c>
      <c r="D882" s="62">
        <f>[7]Sheet3!$H$17/1000000+(('[8]Budget Upah per cost center'!$D$26/12)/1000000)</f>
        <v>2.8347907775000003</v>
      </c>
      <c r="E882" s="62">
        <f>D882</f>
        <v>2.8347907775000003</v>
      </c>
      <c r="F882" s="62">
        <f t="shared" si="260"/>
        <v>2.8347907775000003</v>
      </c>
      <c r="G882" s="62">
        <f t="shared" si="260"/>
        <v>2.8347907775000003</v>
      </c>
      <c r="H882" s="62">
        <f t="shared" si="260"/>
        <v>2.8347907775000003</v>
      </c>
      <c r="I882" s="62">
        <f t="shared" si="260"/>
        <v>2.8347907775000003</v>
      </c>
      <c r="J882" s="62">
        <f t="shared" si="260"/>
        <v>2.8347907775000003</v>
      </c>
      <c r="K882" s="62">
        <f t="shared" si="260"/>
        <v>2.8347907775000003</v>
      </c>
      <c r="L882" s="62">
        <f t="shared" si="260"/>
        <v>2.8347907775000003</v>
      </c>
      <c r="M882" s="62">
        <f t="shared" si="260"/>
        <v>2.8347907775000003</v>
      </c>
      <c r="N882" s="62">
        <f t="shared" si="260"/>
        <v>2.8347907775000003</v>
      </c>
      <c r="O882" s="62">
        <f t="shared" si="260"/>
        <v>2.8347907775000003</v>
      </c>
      <c r="P882" s="62">
        <f t="shared" si="259"/>
        <v>34.017489330000004</v>
      </c>
    </row>
    <row r="883" spans="3:19" x14ac:dyDescent="0.3">
      <c r="C883" s="90" t="s">
        <v>199</v>
      </c>
      <c r="D883" s="62">
        <f>([7]Sheet3!$J$17+[7]Sheet3!$K$17)/1000000+(('[9]Budget Benefit per cost center'!$C$26+'[9]Budget Benefit per cost center'!$D$26)/1000000)</f>
        <v>2.9297374999999999</v>
      </c>
      <c r="E883" s="62">
        <f t="shared" si="260"/>
        <v>2.9297374999999999</v>
      </c>
      <c r="F883" s="62">
        <f t="shared" si="260"/>
        <v>2.9297374999999999</v>
      </c>
      <c r="G883" s="62">
        <f t="shared" si="260"/>
        <v>2.9297374999999999</v>
      </c>
      <c r="H883" s="62">
        <f t="shared" si="260"/>
        <v>2.9297374999999999</v>
      </c>
      <c r="I883" s="62">
        <f t="shared" si="260"/>
        <v>2.9297374999999999</v>
      </c>
      <c r="J883" s="62">
        <f t="shared" si="260"/>
        <v>2.9297374999999999</v>
      </c>
      <c r="K883" s="62">
        <f t="shared" si="260"/>
        <v>2.9297374999999999</v>
      </c>
      <c r="L883" s="62">
        <f t="shared" si="260"/>
        <v>2.9297374999999999</v>
      </c>
      <c r="M883" s="62">
        <f t="shared" si="260"/>
        <v>2.9297374999999999</v>
      </c>
      <c r="N883" s="62">
        <f t="shared" si="260"/>
        <v>2.9297374999999999</v>
      </c>
      <c r="O883" s="62">
        <f t="shared" si="260"/>
        <v>2.9297374999999999</v>
      </c>
      <c r="P883" s="62">
        <f t="shared" si="259"/>
        <v>35.156850000000006</v>
      </c>
    </row>
    <row r="884" spans="3:19" x14ac:dyDescent="0.3">
      <c r="C884" s="90" t="s">
        <v>201</v>
      </c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>
        <f t="shared" si="257"/>
        <v>0</v>
      </c>
    </row>
    <row r="885" spans="3:19" ht="13.5" thickBot="1" x14ac:dyDescent="0.35">
      <c r="C885" s="90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</row>
    <row r="886" spans="3:19" ht="13.5" thickBot="1" x14ac:dyDescent="0.35">
      <c r="C886" s="92" t="s">
        <v>202</v>
      </c>
      <c r="D886" s="93">
        <f t="shared" ref="D886:O886" si="261">SUM(D870:D884)</f>
        <v>74.47907012955001</v>
      </c>
      <c r="E886" s="93">
        <f t="shared" si="261"/>
        <v>90.149070129549997</v>
      </c>
      <c r="F886" s="93">
        <f t="shared" si="261"/>
        <v>99.169070129550008</v>
      </c>
      <c r="G886" s="93">
        <f t="shared" si="261"/>
        <v>62.47907012955001</v>
      </c>
      <c r="H886" s="93">
        <f t="shared" si="261"/>
        <v>89.679070129549999</v>
      </c>
      <c r="I886" s="93">
        <f t="shared" si="261"/>
        <v>62.47907012955001</v>
      </c>
      <c r="J886" s="93">
        <f t="shared" si="261"/>
        <v>89.679070129549999</v>
      </c>
      <c r="K886" s="93">
        <f t="shared" si="261"/>
        <v>89.679070129549999</v>
      </c>
      <c r="L886" s="93">
        <f t="shared" si="261"/>
        <v>89.679070129549999</v>
      </c>
      <c r="M886" s="93">
        <f t="shared" si="261"/>
        <v>89.679070129549999</v>
      </c>
      <c r="N886" s="93">
        <f t="shared" si="261"/>
        <v>89.679070129549999</v>
      </c>
      <c r="O886" s="93">
        <f t="shared" si="261"/>
        <v>89.679070129549999</v>
      </c>
      <c r="P886" s="93">
        <v>9733570</v>
      </c>
    </row>
    <row r="889" spans="3:19" ht="13.5" thickBot="1" x14ac:dyDescent="0.35">
      <c r="C889" s="13" t="s">
        <v>267</v>
      </c>
    </row>
    <row r="890" spans="3:19" s="29" customFormat="1" ht="26.25" customHeight="1" thickBot="1" x14ac:dyDescent="0.4">
      <c r="C890" s="23" t="s">
        <v>69</v>
      </c>
      <c r="D890" s="24" t="s">
        <v>70</v>
      </c>
      <c r="E890" s="24" t="s">
        <v>71</v>
      </c>
      <c r="F890" s="24" t="s">
        <v>72</v>
      </c>
      <c r="G890" s="24" t="s">
        <v>73</v>
      </c>
      <c r="H890" s="24" t="s">
        <v>74</v>
      </c>
      <c r="I890" s="24" t="s">
        <v>75</v>
      </c>
      <c r="J890" s="24" t="s">
        <v>76</v>
      </c>
      <c r="K890" s="24" t="s">
        <v>77</v>
      </c>
      <c r="L890" s="24" t="s">
        <v>78</v>
      </c>
      <c r="M890" s="24" t="s">
        <v>79</v>
      </c>
      <c r="N890" s="24" t="s">
        <v>80</v>
      </c>
      <c r="O890" s="24" t="s">
        <v>81</v>
      </c>
      <c r="P890" s="25" t="s">
        <v>82</v>
      </c>
      <c r="Q890" s="129"/>
      <c r="R890" s="130"/>
      <c r="S890" s="28"/>
    </row>
    <row r="891" spans="3:19" x14ac:dyDescent="0.3">
      <c r="C891" s="90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</row>
    <row r="892" spans="3:19" x14ac:dyDescent="0.3">
      <c r="C892" s="90" t="s">
        <v>186</v>
      </c>
      <c r="D892" s="62">
        <f>'[21]Rekap Expenses'!B60/1000</f>
        <v>5.5</v>
      </c>
      <c r="E892" s="62">
        <f>'[21]Rekap Expenses'!C60/1000</f>
        <v>9.35</v>
      </c>
      <c r="F892" s="62">
        <f>'[21]Rekap Expenses'!D60/1000</f>
        <v>5.7</v>
      </c>
      <c r="G892" s="62">
        <f>'[21]Rekap Expenses'!E60/1000</f>
        <v>7.5</v>
      </c>
      <c r="H892" s="62">
        <f>'[21]Rekap Expenses'!F60/1000</f>
        <v>1.5</v>
      </c>
      <c r="I892" s="62">
        <f>'[21]Rekap Expenses'!G60/1000</f>
        <v>9.8000000000000007</v>
      </c>
      <c r="J892" s="62">
        <f>'[21]Rekap Expenses'!H60/1000</f>
        <v>6.5</v>
      </c>
      <c r="K892" s="62">
        <f>'[21]Rekap Expenses'!I60/1000</f>
        <v>3.7</v>
      </c>
      <c r="L892" s="62">
        <f>'[21]Rekap Expenses'!J60/1000</f>
        <v>0.5</v>
      </c>
      <c r="M892" s="62">
        <f>'[21]Rekap Expenses'!K60/1000</f>
        <v>4.5</v>
      </c>
      <c r="N892" s="62">
        <f>'[21]Rekap Expenses'!L60/1000</f>
        <v>4.0999999999999996</v>
      </c>
      <c r="O892" s="62">
        <f>'[21]Rekap Expenses'!M60/1000</f>
        <v>8.5</v>
      </c>
      <c r="P892" s="62">
        <f>SUM(D892:O892)</f>
        <v>67.150000000000006</v>
      </c>
    </row>
    <row r="893" spans="3:19" x14ac:dyDescent="0.3">
      <c r="C893" s="90" t="s">
        <v>187</v>
      </c>
      <c r="D893" s="62">
        <f>'[21]Rekap Expenses'!B61/1000</f>
        <v>0</v>
      </c>
      <c r="E893" s="62">
        <f>'[21]Rekap Expenses'!C61/1000</f>
        <v>0</v>
      </c>
      <c r="F893" s="62">
        <f>'[21]Rekap Expenses'!D61/1000</f>
        <v>0</v>
      </c>
      <c r="G893" s="62">
        <f>'[21]Rekap Expenses'!E61/1000</f>
        <v>0</v>
      </c>
      <c r="H893" s="62">
        <f>'[21]Rekap Expenses'!F61/1000</f>
        <v>0</v>
      </c>
      <c r="I893" s="62">
        <f>'[21]Rekap Expenses'!G61/1000</f>
        <v>0</v>
      </c>
      <c r="J893" s="62">
        <f>'[21]Rekap Expenses'!H61/1000</f>
        <v>0</v>
      </c>
      <c r="K893" s="62">
        <f>'[21]Rekap Expenses'!I61/1000</f>
        <v>0</v>
      </c>
      <c r="L893" s="62">
        <f>'[21]Rekap Expenses'!J61/1000</f>
        <v>0</v>
      </c>
      <c r="M893" s="62">
        <f>'[21]Rekap Expenses'!K61/1000</f>
        <v>0</v>
      </c>
      <c r="N893" s="62">
        <f>'[21]Rekap Expenses'!L61/1000</f>
        <v>0</v>
      </c>
      <c r="O893" s="62">
        <f>'[21]Rekap Expenses'!M61/1000</f>
        <v>0</v>
      </c>
      <c r="P893" s="62">
        <f t="shared" ref="P893:P906" si="262">SUM(D893:O893)</f>
        <v>0</v>
      </c>
    </row>
    <row r="894" spans="3:19" x14ac:dyDescent="0.3">
      <c r="C894" s="90" t="s">
        <v>188</v>
      </c>
      <c r="D894" s="62">
        <f>'[21]Rekap Expenses'!B62/1000</f>
        <v>51.972701499999999</v>
      </c>
      <c r="E894" s="62">
        <f>'[21]Rekap Expenses'!C62/1000</f>
        <v>52.323360000000001</v>
      </c>
      <c r="F894" s="62">
        <f>'[21]Rekap Expenses'!D62/1000</f>
        <v>66.472554000000002</v>
      </c>
      <c r="G894" s="62">
        <f>'[21]Rekap Expenses'!E62/1000</f>
        <v>66.999441500000003</v>
      </c>
      <c r="H894" s="62">
        <f>'[21]Rekap Expenses'!F62/1000</f>
        <v>66.286991999999998</v>
      </c>
      <c r="I894" s="62">
        <f>'[21]Rekap Expenses'!G62/1000</f>
        <v>67.2369755</v>
      </c>
      <c r="J894" s="62">
        <f>'[21]Rekap Expenses'!H62/1000</f>
        <v>66.567592000000005</v>
      </c>
      <c r="K894" s="62">
        <f>'[21]Rekap Expenses'!I62/1000</f>
        <v>82.211133500000003</v>
      </c>
      <c r="L894" s="62">
        <f>'[21]Rekap Expenses'!J62/1000</f>
        <v>82.307056000000003</v>
      </c>
      <c r="M894" s="62">
        <f>'[21]Rekap Expenses'!K62/1000</f>
        <v>82.324319000000003</v>
      </c>
      <c r="N894" s="62">
        <f>'[21]Rekap Expenses'!L62/1000</f>
        <v>82.264081500000003</v>
      </c>
      <c r="O894" s="62">
        <f>'[21]Rekap Expenses'!M62/1000</f>
        <v>66.907331499999998</v>
      </c>
      <c r="P894" s="62">
        <f t="shared" si="262"/>
        <v>833.87353800000005</v>
      </c>
    </row>
    <row r="895" spans="3:19" x14ac:dyDescent="0.3">
      <c r="C895" s="90" t="s">
        <v>189</v>
      </c>
      <c r="D895" s="62">
        <f>'[21]Rekap Expenses'!B63/1000</f>
        <v>1.5</v>
      </c>
      <c r="E895" s="62">
        <f>'[21]Rekap Expenses'!C63/1000</f>
        <v>1.5</v>
      </c>
      <c r="F895" s="62">
        <f>'[21]Rekap Expenses'!D63/1000</f>
        <v>1</v>
      </c>
      <c r="G895" s="62">
        <f>'[21]Rekap Expenses'!E63/1000</f>
        <v>2.5</v>
      </c>
      <c r="H895" s="62">
        <f>'[21]Rekap Expenses'!F63/1000</f>
        <v>1.5</v>
      </c>
      <c r="I895" s="62">
        <f>'[21]Rekap Expenses'!G63/1000</f>
        <v>1</v>
      </c>
      <c r="J895" s="62">
        <f>'[21]Rekap Expenses'!H63/1000</f>
        <v>1</v>
      </c>
      <c r="K895" s="62">
        <f>'[21]Rekap Expenses'!I63/1000</f>
        <v>1</v>
      </c>
      <c r="L895" s="62">
        <f>'[21]Rekap Expenses'!J63/1000</f>
        <v>1</v>
      </c>
      <c r="M895" s="62">
        <f>'[21]Rekap Expenses'!K63/1000</f>
        <v>1</v>
      </c>
      <c r="N895" s="62">
        <f>'[21]Rekap Expenses'!L63/1000</f>
        <v>1</v>
      </c>
      <c r="O895" s="62">
        <f>'[21]Rekap Expenses'!M63/1000</f>
        <v>1</v>
      </c>
      <c r="P895" s="62">
        <f t="shared" si="262"/>
        <v>15</v>
      </c>
    </row>
    <row r="896" spans="3:19" x14ac:dyDescent="0.3">
      <c r="C896" s="90" t="s">
        <v>190</v>
      </c>
      <c r="D896" s="62">
        <f>'[21]Rekap Expenses'!B64/1000</f>
        <v>10.220000000000001</v>
      </c>
      <c r="E896" s="62">
        <f>'[21]Rekap Expenses'!C64/1000</f>
        <v>14.81</v>
      </c>
      <c r="F896" s="62">
        <f>'[21]Rekap Expenses'!D64/1000</f>
        <v>4.9800000000000004</v>
      </c>
      <c r="G896" s="62">
        <f>'[21]Rekap Expenses'!E64/1000</f>
        <v>4.9800000000000004</v>
      </c>
      <c r="H896" s="62">
        <f>'[21]Rekap Expenses'!F64/1000</f>
        <v>5.91</v>
      </c>
      <c r="I896" s="62">
        <f>'[21]Rekap Expenses'!G64/1000</f>
        <v>4.9800000000000004</v>
      </c>
      <c r="J896" s="62">
        <f>'[21]Rekap Expenses'!H64/1000</f>
        <v>4.9800000000000004</v>
      </c>
      <c r="K896" s="62">
        <f>'[21]Rekap Expenses'!I64/1000</f>
        <v>4.9800000000000004</v>
      </c>
      <c r="L896" s="62">
        <f>'[21]Rekap Expenses'!J64/1000</f>
        <v>5.91</v>
      </c>
      <c r="M896" s="62">
        <f>'[21]Rekap Expenses'!K64/1000</f>
        <v>10.3</v>
      </c>
      <c r="N896" s="62">
        <f>'[21]Rekap Expenses'!L64/1000</f>
        <v>4.9800000000000004</v>
      </c>
      <c r="O896" s="62">
        <f>'[21]Rekap Expenses'!M64/1000</f>
        <v>4.9800000000000004</v>
      </c>
      <c r="P896" s="62">
        <f t="shared" si="262"/>
        <v>82.010000000000019</v>
      </c>
    </row>
    <row r="897" spans="3:16" x14ac:dyDescent="0.3">
      <c r="C897" s="90" t="s">
        <v>191</v>
      </c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>
        <f t="shared" si="262"/>
        <v>0</v>
      </c>
    </row>
    <row r="898" spans="3:16" x14ac:dyDescent="0.3">
      <c r="C898" s="90" t="s">
        <v>192</v>
      </c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>
        <f t="shared" si="262"/>
        <v>0</v>
      </c>
    </row>
    <row r="899" spans="3:16" x14ac:dyDescent="0.3">
      <c r="C899" s="90" t="s">
        <v>263</v>
      </c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>
        <f t="shared" si="262"/>
        <v>0</v>
      </c>
    </row>
    <row r="900" spans="3:16" ht="15" customHeight="1" x14ac:dyDescent="0.3">
      <c r="C900" s="90" t="s">
        <v>194</v>
      </c>
      <c r="D900" s="62">
        <f>[7]Sheet3!$G$15/1000000+('[8]Budget Upah per cost center'!$C$25/1000000)</f>
        <v>98.83698956660001</v>
      </c>
      <c r="E900" s="62">
        <f>D900</f>
        <v>98.83698956660001</v>
      </c>
      <c r="F900" s="62">
        <f t="shared" ref="F900:O900" si="263">E900</f>
        <v>98.83698956660001</v>
      </c>
      <c r="G900" s="62">
        <f t="shared" si="263"/>
        <v>98.83698956660001</v>
      </c>
      <c r="H900" s="62">
        <f t="shared" si="263"/>
        <v>98.83698956660001</v>
      </c>
      <c r="I900" s="62">
        <f t="shared" si="263"/>
        <v>98.83698956660001</v>
      </c>
      <c r="J900" s="62">
        <f t="shared" si="263"/>
        <v>98.83698956660001</v>
      </c>
      <c r="K900" s="62">
        <f t="shared" si="263"/>
        <v>98.83698956660001</v>
      </c>
      <c r="L900" s="62">
        <f t="shared" si="263"/>
        <v>98.83698956660001</v>
      </c>
      <c r="M900" s="62">
        <f t="shared" si="263"/>
        <v>98.83698956660001</v>
      </c>
      <c r="N900" s="62">
        <f t="shared" si="263"/>
        <v>98.83698956660001</v>
      </c>
      <c r="O900" s="62">
        <f t="shared" si="263"/>
        <v>98.83698956660001</v>
      </c>
      <c r="P900" s="62">
        <f t="shared" ref="P900:P905" si="264">D900+E900+F900+G900+H900+I900+J900+K900+L900+M900+N900+O900</f>
        <v>1186.0438747992</v>
      </c>
    </row>
    <row r="901" spans="3:16" x14ac:dyDescent="0.3">
      <c r="C901" s="90" t="s">
        <v>195</v>
      </c>
      <c r="D901" s="62">
        <f>([7]Sheet3!$I$15+[7]Sheet3!$M$15)/1000000+(('[9]Budget Benefit per cost center'!$E$25+'[9]Budget Benefit per cost center'!$F$25)/1000000)</f>
        <v>6.7859658139660679</v>
      </c>
      <c r="E901" s="62">
        <f t="shared" ref="E901:O905" si="265">D901</f>
        <v>6.7859658139660679</v>
      </c>
      <c r="F901" s="62">
        <f t="shared" si="265"/>
        <v>6.7859658139660679</v>
      </c>
      <c r="G901" s="62">
        <f t="shared" si="265"/>
        <v>6.7859658139660679</v>
      </c>
      <c r="H901" s="62">
        <f t="shared" si="265"/>
        <v>6.7859658139660679</v>
      </c>
      <c r="I901" s="62">
        <f t="shared" si="265"/>
        <v>6.7859658139660679</v>
      </c>
      <c r="J901" s="62">
        <f t="shared" si="265"/>
        <v>6.7859658139660679</v>
      </c>
      <c r="K901" s="62">
        <f t="shared" si="265"/>
        <v>6.7859658139660679</v>
      </c>
      <c r="L901" s="62">
        <f t="shared" si="265"/>
        <v>6.7859658139660679</v>
      </c>
      <c r="M901" s="62">
        <f t="shared" si="265"/>
        <v>6.7859658139660679</v>
      </c>
      <c r="N901" s="62">
        <f t="shared" si="265"/>
        <v>6.7859658139660679</v>
      </c>
      <c r="O901" s="62">
        <f t="shared" si="265"/>
        <v>6.7859658139660679</v>
      </c>
      <c r="P901" s="62">
        <f t="shared" si="264"/>
        <v>81.431589767592811</v>
      </c>
    </row>
    <row r="902" spans="3:16" x14ac:dyDescent="0.3">
      <c r="C902" s="90" t="s">
        <v>196</v>
      </c>
      <c r="D902" s="62">
        <f>[7]Sheet3!$L$15/1000000+'[9]Budget Benefit per cost center'!$G$25/1000000</f>
        <v>5.4166244739960003</v>
      </c>
      <c r="E902" s="62">
        <f t="shared" si="265"/>
        <v>5.4166244739960003</v>
      </c>
      <c r="F902" s="62">
        <f t="shared" si="265"/>
        <v>5.4166244739960003</v>
      </c>
      <c r="G902" s="62">
        <f t="shared" si="265"/>
        <v>5.4166244739960003</v>
      </c>
      <c r="H902" s="62">
        <f t="shared" si="265"/>
        <v>5.4166244739960003</v>
      </c>
      <c r="I902" s="62">
        <f t="shared" si="265"/>
        <v>5.4166244739960003</v>
      </c>
      <c r="J902" s="62">
        <f t="shared" si="265"/>
        <v>5.4166244739960003</v>
      </c>
      <c r="K902" s="62">
        <f t="shared" si="265"/>
        <v>5.4166244739960003</v>
      </c>
      <c r="L902" s="62">
        <f t="shared" si="265"/>
        <v>5.4166244739960003</v>
      </c>
      <c r="M902" s="62">
        <f t="shared" si="265"/>
        <v>5.4166244739960003</v>
      </c>
      <c r="N902" s="62">
        <f t="shared" si="265"/>
        <v>5.4166244739960003</v>
      </c>
      <c r="O902" s="62">
        <f t="shared" si="265"/>
        <v>5.4166244739960003</v>
      </c>
      <c r="P902" s="62">
        <f t="shared" si="264"/>
        <v>64.999493687952011</v>
      </c>
    </row>
    <row r="903" spans="3:16" x14ac:dyDescent="0.3">
      <c r="C903" s="90" t="s">
        <v>197</v>
      </c>
      <c r="D903" s="62">
        <f>[7]Sheet3!$N$17/1000000</f>
        <v>1.0033702220833334</v>
      </c>
      <c r="E903" s="62">
        <f t="shared" si="265"/>
        <v>1.0033702220833334</v>
      </c>
      <c r="F903" s="62">
        <f t="shared" si="265"/>
        <v>1.0033702220833334</v>
      </c>
      <c r="G903" s="62">
        <f t="shared" si="265"/>
        <v>1.0033702220833334</v>
      </c>
      <c r="H903" s="62">
        <f t="shared" si="265"/>
        <v>1.0033702220833334</v>
      </c>
      <c r="I903" s="62">
        <f t="shared" si="265"/>
        <v>1.0033702220833334</v>
      </c>
      <c r="J903" s="62">
        <f t="shared" si="265"/>
        <v>1.0033702220833334</v>
      </c>
      <c r="K903" s="62">
        <f t="shared" si="265"/>
        <v>1.0033702220833334</v>
      </c>
      <c r="L903" s="62">
        <f t="shared" si="265"/>
        <v>1.0033702220833334</v>
      </c>
      <c r="M903" s="62">
        <f t="shared" si="265"/>
        <v>1.0033702220833334</v>
      </c>
      <c r="N903" s="62">
        <f t="shared" si="265"/>
        <v>1.0033702220833334</v>
      </c>
      <c r="O903" s="62">
        <f t="shared" si="265"/>
        <v>1.0033702220833334</v>
      </c>
      <c r="P903" s="62">
        <f t="shared" si="264"/>
        <v>12.040442665</v>
      </c>
    </row>
    <row r="904" spans="3:16" x14ac:dyDescent="0.3">
      <c r="C904" s="90" t="s">
        <v>264</v>
      </c>
      <c r="D904" s="62">
        <f>[7]Sheet3!$H$15/1000000+(('[8]Budget Upah per cost center'!$D$25/12)/1000000)</f>
        <v>7.6414157972166681</v>
      </c>
      <c r="E904" s="62">
        <f>D904</f>
        <v>7.6414157972166681</v>
      </c>
      <c r="F904" s="62">
        <f t="shared" si="265"/>
        <v>7.6414157972166681</v>
      </c>
      <c r="G904" s="62">
        <f t="shared" si="265"/>
        <v>7.6414157972166681</v>
      </c>
      <c r="H904" s="62">
        <f t="shared" si="265"/>
        <v>7.6414157972166681</v>
      </c>
      <c r="I904" s="62">
        <f t="shared" si="265"/>
        <v>7.6414157972166681</v>
      </c>
      <c r="J904" s="62">
        <f t="shared" si="265"/>
        <v>7.6414157972166681</v>
      </c>
      <c r="K904" s="62">
        <f t="shared" si="265"/>
        <v>7.6414157972166681</v>
      </c>
      <c r="L904" s="62">
        <f t="shared" si="265"/>
        <v>7.6414157972166681</v>
      </c>
      <c r="M904" s="62">
        <f t="shared" si="265"/>
        <v>7.6414157972166681</v>
      </c>
      <c r="N904" s="62">
        <f t="shared" si="265"/>
        <v>7.6414157972166681</v>
      </c>
      <c r="O904" s="62">
        <f t="shared" si="265"/>
        <v>7.6414157972166681</v>
      </c>
      <c r="P904" s="62">
        <f t="shared" si="264"/>
        <v>91.69698956660001</v>
      </c>
    </row>
    <row r="905" spans="3:16" x14ac:dyDescent="0.3">
      <c r="C905" s="90" t="s">
        <v>199</v>
      </c>
      <c r="D905" s="62">
        <f>([7]Sheet3!$J$15+[7]Sheet3!$K$15)/1000000+('[9]Budget Benefit per cost center'!$C$25+'[9]Budget Benefit per cost center'!$D$25)/1000000</f>
        <v>6.0966166666666668</v>
      </c>
      <c r="E905" s="62">
        <f t="shared" si="265"/>
        <v>6.0966166666666668</v>
      </c>
      <c r="F905" s="62">
        <f t="shared" si="265"/>
        <v>6.0966166666666668</v>
      </c>
      <c r="G905" s="62">
        <f t="shared" si="265"/>
        <v>6.0966166666666668</v>
      </c>
      <c r="H905" s="62">
        <f t="shared" si="265"/>
        <v>6.0966166666666668</v>
      </c>
      <c r="I905" s="62">
        <f t="shared" si="265"/>
        <v>6.0966166666666668</v>
      </c>
      <c r="J905" s="62">
        <f t="shared" si="265"/>
        <v>6.0966166666666668</v>
      </c>
      <c r="K905" s="62">
        <f t="shared" si="265"/>
        <v>6.0966166666666668</v>
      </c>
      <c r="L905" s="62">
        <f t="shared" si="265"/>
        <v>6.0966166666666668</v>
      </c>
      <c r="M905" s="62">
        <f t="shared" si="265"/>
        <v>6.0966166666666668</v>
      </c>
      <c r="N905" s="62">
        <f t="shared" si="265"/>
        <v>6.0966166666666668</v>
      </c>
      <c r="O905" s="62">
        <f t="shared" si="265"/>
        <v>6.0966166666666668</v>
      </c>
      <c r="P905" s="62">
        <f t="shared" si="264"/>
        <v>73.159400000000005</v>
      </c>
    </row>
    <row r="906" spans="3:16" x14ac:dyDescent="0.3">
      <c r="C906" s="90" t="s">
        <v>201</v>
      </c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>
        <f t="shared" si="262"/>
        <v>0</v>
      </c>
    </row>
    <row r="907" spans="3:16" ht="13.5" thickBot="1" x14ac:dyDescent="0.35">
      <c r="C907" s="90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</row>
    <row r="908" spans="3:16" ht="13.5" thickBot="1" x14ac:dyDescent="0.35">
      <c r="C908" s="92" t="s">
        <v>202</v>
      </c>
      <c r="D908" s="93">
        <f t="shared" ref="D908:O908" si="266">SUM(D892:D906)</f>
        <v>194.97368404052875</v>
      </c>
      <c r="E908" s="93">
        <f t="shared" si="266"/>
        <v>203.76434254052876</v>
      </c>
      <c r="F908" s="93">
        <f t="shared" si="266"/>
        <v>203.93353654052876</v>
      </c>
      <c r="G908" s="93">
        <f t="shared" si="266"/>
        <v>207.76042404052876</v>
      </c>
      <c r="H908" s="93">
        <f t="shared" si="266"/>
        <v>200.97797454052875</v>
      </c>
      <c r="I908" s="93">
        <f t="shared" si="266"/>
        <v>208.79795804052875</v>
      </c>
      <c r="J908" s="93">
        <f t="shared" si="266"/>
        <v>204.82857454052876</v>
      </c>
      <c r="K908" s="93">
        <f t="shared" si="266"/>
        <v>217.67211604052875</v>
      </c>
      <c r="L908" s="93">
        <f t="shared" si="266"/>
        <v>215.49803854052874</v>
      </c>
      <c r="M908" s="93">
        <f t="shared" si="266"/>
        <v>223.90530154052874</v>
      </c>
      <c r="N908" s="93">
        <f t="shared" si="266"/>
        <v>218.12506404052874</v>
      </c>
      <c r="O908" s="93">
        <f t="shared" si="266"/>
        <v>207.16831404052874</v>
      </c>
      <c r="P908" s="93">
        <v>9733570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D481-7711-4027-8EB7-7F482FEF4CFC}">
  <sheetPr>
    <tabColor rgb="FF00B0F0"/>
  </sheetPr>
  <dimension ref="A1:R43"/>
  <sheetViews>
    <sheetView topLeftCell="A5" zoomScale="90" zoomScaleNormal="90" workbookViewId="0">
      <selection activeCell="E34" sqref="E34"/>
    </sheetView>
  </sheetViews>
  <sheetFormatPr defaultRowHeight="14.5" x14ac:dyDescent="0.35"/>
  <cols>
    <col min="1" max="1" width="70.453125" customWidth="1"/>
    <col min="3" max="3" width="6.7265625" customWidth="1"/>
    <col min="4" max="4" width="78.1796875" customWidth="1"/>
    <col min="6" max="6" width="13.08984375" customWidth="1"/>
    <col min="7" max="7" width="12.1796875" customWidth="1"/>
  </cols>
  <sheetData>
    <row r="1" spans="1:18" ht="16" x14ac:dyDescent="0.4">
      <c r="F1" s="165" t="s">
        <v>302</v>
      </c>
    </row>
    <row r="2" spans="1:18" ht="18.5" x14ac:dyDescent="0.45">
      <c r="A2" s="211" t="s">
        <v>296</v>
      </c>
      <c r="D2" s="213" t="s">
        <v>297</v>
      </c>
    </row>
    <row r="3" spans="1:18" s="163" customFormat="1" ht="44" customHeight="1" x14ac:dyDescent="0.3">
      <c r="A3" s="163" t="s">
        <v>287</v>
      </c>
      <c r="D3" s="179" t="s">
        <v>298</v>
      </c>
      <c r="F3" s="222" t="s">
        <v>303</v>
      </c>
      <c r="R3" s="164" t="s">
        <v>304</v>
      </c>
    </row>
    <row r="4" spans="1:18" s="163" customFormat="1" ht="53.5" customHeight="1" x14ac:dyDescent="0.3">
      <c r="A4" s="179" t="s">
        <v>288</v>
      </c>
      <c r="C4" s="212">
        <v>1</v>
      </c>
      <c r="D4" s="179" t="s">
        <v>299</v>
      </c>
      <c r="F4" s="222" t="s">
        <v>305</v>
      </c>
      <c r="R4" s="164" t="s">
        <v>306</v>
      </c>
    </row>
    <row r="5" spans="1:18" s="163" customFormat="1" ht="53.5" customHeight="1" x14ac:dyDescent="0.35">
      <c r="A5" s="179" t="s">
        <v>289</v>
      </c>
      <c r="C5" s="212">
        <v>2</v>
      </c>
      <c r="D5" s="179" t="s">
        <v>300</v>
      </c>
      <c r="F5" s="223" t="s">
        <v>307</v>
      </c>
      <c r="I5" s="224" t="s">
        <v>308</v>
      </c>
    </row>
    <row r="6" spans="1:18" s="163" customFormat="1" ht="53.5" customHeight="1" x14ac:dyDescent="0.35">
      <c r="A6" s="179" t="s">
        <v>290</v>
      </c>
      <c r="C6" s="212">
        <v>3</v>
      </c>
      <c r="D6" s="179" t="s">
        <v>401</v>
      </c>
      <c r="F6" s="168" t="s">
        <v>312</v>
      </c>
      <c r="G6" s="169" t="s">
        <v>313</v>
      </c>
      <c r="H6" s="169" t="s">
        <v>309</v>
      </c>
      <c r="I6" s="170" t="s">
        <v>314</v>
      </c>
      <c r="K6" s="166"/>
    </row>
    <row r="7" spans="1:18" s="163" customFormat="1" ht="53.5" customHeight="1" x14ac:dyDescent="0.35">
      <c r="A7" s="179" t="s">
        <v>291</v>
      </c>
      <c r="C7" s="212">
        <v>4</v>
      </c>
      <c r="D7" s="179" t="s">
        <v>301</v>
      </c>
      <c r="F7" s="221">
        <v>0.85</v>
      </c>
      <c r="G7" s="221">
        <v>0.85</v>
      </c>
      <c r="H7" s="221">
        <v>0.85</v>
      </c>
      <c r="I7" s="171">
        <f>H7*G7*F7</f>
        <v>0.61412499999999992</v>
      </c>
    </row>
    <row r="8" spans="1:18" s="163" customFormat="1" ht="53.5" customHeight="1" x14ac:dyDescent="0.35">
      <c r="A8" s="179" t="s">
        <v>292</v>
      </c>
    </row>
    <row r="9" spans="1:18" s="163" customFormat="1" ht="53.5" customHeight="1" x14ac:dyDescent="0.35">
      <c r="A9" s="179" t="s">
        <v>293</v>
      </c>
    </row>
    <row r="10" spans="1:18" s="163" customFormat="1" ht="53.5" customHeight="1" x14ac:dyDescent="0.35">
      <c r="A10" s="179" t="s">
        <v>294</v>
      </c>
      <c r="D10"/>
    </row>
    <row r="11" spans="1:18" s="163" customFormat="1" ht="53.5" customHeight="1" x14ac:dyDescent="0.35">
      <c r="A11" s="179" t="s">
        <v>295</v>
      </c>
    </row>
    <row r="14" spans="1:18" ht="18.5" x14ac:dyDescent="0.35">
      <c r="A14" s="217" t="s">
        <v>389</v>
      </c>
    </row>
    <row r="15" spans="1:18" ht="58" x14ac:dyDescent="0.35">
      <c r="A15" s="167" t="s">
        <v>386</v>
      </c>
    </row>
    <row r="16" spans="1:18" ht="58" x14ac:dyDescent="0.35">
      <c r="A16" s="167" t="s">
        <v>387</v>
      </c>
    </row>
    <row r="17" spans="1:1" ht="58" x14ac:dyDescent="0.35">
      <c r="A17" s="167" t="s">
        <v>388</v>
      </c>
    </row>
    <row r="20" spans="1:1" x14ac:dyDescent="0.35">
      <c r="A20" s="214" t="s">
        <v>358</v>
      </c>
    </row>
    <row r="21" spans="1:1" x14ac:dyDescent="0.35">
      <c r="A21" t="s">
        <v>359</v>
      </c>
    </row>
    <row r="22" spans="1:1" x14ac:dyDescent="0.35">
      <c r="A22" t="s">
        <v>379</v>
      </c>
    </row>
    <row r="23" spans="1:1" x14ac:dyDescent="0.35">
      <c r="A23" t="s">
        <v>380</v>
      </c>
    </row>
    <row r="24" spans="1:1" x14ac:dyDescent="0.35">
      <c r="A24" s="10" t="s">
        <v>360</v>
      </c>
    </row>
    <row r="25" spans="1:1" x14ac:dyDescent="0.35">
      <c r="A25" t="s">
        <v>361</v>
      </c>
    </row>
    <row r="26" spans="1:1" x14ac:dyDescent="0.35">
      <c r="A26" t="s">
        <v>381</v>
      </c>
    </row>
    <row r="28" spans="1:1" x14ac:dyDescent="0.35">
      <c r="A28" s="214" t="s">
        <v>362</v>
      </c>
    </row>
    <row r="29" spans="1:1" x14ac:dyDescent="0.35">
      <c r="A29" t="s">
        <v>363</v>
      </c>
    </row>
    <row r="30" spans="1:1" x14ac:dyDescent="0.35">
      <c r="A30" t="s">
        <v>377</v>
      </c>
    </row>
    <row r="31" spans="1:1" x14ac:dyDescent="0.35">
      <c r="A31" t="s">
        <v>378</v>
      </c>
    </row>
    <row r="32" spans="1:1" x14ac:dyDescent="0.35">
      <c r="A32" s="10" t="s">
        <v>360</v>
      </c>
    </row>
    <row r="33" spans="1:5" x14ac:dyDescent="0.35">
      <c r="A33" t="s">
        <v>382</v>
      </c>
      <c r="E33">
        <f>400/(480*4)</f>
        <v>0.20833333333333334</v>
      </c>
    </row>
    <row r="35" spans="1:5" x14ac:dyDescent="0.35">
      <c r="A35" s="214" t="s">
        <v>364</v>
      </c>
    </row>
    <row r="36" spans="1:5" x14ac:dyDescent="0.35">
      <c r="A36" t="s">
        <v>365</v>
      </c>
    </row>
    <row r="37" spans="1:5" x14ac:dyDescent="0.35">
      <c r="A37" t="s">
        <v>366</v>
      </c>
    </row>
    <row r="39" spans="1:5" x14ac:dyDescent="0.35">
      <c r="A39" s="10" t="s">
        <v>360</v>
      </c>
    </row>
    <row r="40" spans="1:5" x14ac:dyDescent="0.35">
      <c r="A40" t="s">
        <v>383</v>
      </c>
    </row>
    <row r="42" spans="1:5" x14ac:dyDescent="0.35">
      <c r="B42" s="10" t="s">
        <v>385</v>
      </c>
    </row>
    <row r="43" spans="1:5" x14ac:dyDescent="0.35">
      <c r="A43" s="215" t="s">
        <v>384</v>
      </c>
      <c r="B43" s="216">
        <f>93%*83%*98%</f>
        <v>0.75646199999999997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3986-7DDB-4491-BC2C-DD2659F205BC}">
  <sheetPr>
    <tabColor rgb="FFFFFF00"/>
  </sheetPr>
  <dimension ref="A1:C25"/>
  <sheetViews>
    <sheetView tabSelected="1" workbookViewId="0">
      <selection activeCell="A7" sqref="A7"/>
    </sheetView>
  </sheetViews>
  <sheetFormatPr defaultRowHeight="14.5" x14ac:dyDescent="0.35"/>
  <sheetData>
    <row r="1" spans="1:3" x14ac:dyDescent="0.35">
      <c r="A1" t="s">
        <v>327</v>
      </c>
    </row>
    <row r="3" spans="1:3" x14ac:dyDescent="0.35">
      <c r="A3" s="220" t="s">
        <v>394</v>
      </c>
      <c r="B3" s="220"/>
      <c r="C3" s="220"/>
    </row>
    <row r="4" spans="1:3" x14ac:dyDescent="0.35">
      <c r="A4" t="s">
        <v>328</v>
      </c>
    </row>
    <row r="5" spans="1:3" x14ac:dyDescent="0.35">
      <c r="A5" t="s">
        <v>329</v>
      </c>
    </row>
    <row r="6" spans="1:3" x14ac:dyDescent="0.35">
      <c r="A6" t="s">
        <v>330</v>
      </c>
    </row>
    <row r="7" spans="1:3" x14ac:dyDescent="0.35">
      <c r="A7" t="s">
        <v>331</v>
      </c>
    </row>
    <row r="8" spans="1:3" x14ac:dyDescent="0.35">
      <c r="A8" s="220" t="s">
        <v>395</v>
      </c>
      <c r="B8" s="220"/>
      <c r="C8" s="220"/>
    </row>
    <row r="9" spans="1:3" x14ac:dyDescent="0.35">
      <c r="A9" t="s">
        <v>332</v>
      </c>
    </row>
    <row r="10" spans="1:3" x14ac:dyDescent="0.35">
      <c r="A10" t="s">
        <v>333</v>
      </c>
    </row>
    <row r="11" spans="1:3" x14ac:dyDescent="0.35">
      <c r="A11" t="s">
        <v>334</v>
      </c>
    </row>
    <row r="12" spans="1:3" x14ac:dyDescent="0.35">
      <c r="A12" t="s">
        <v>335</v>
      </c>
    </row>
    <row r="13" spans="1:3" x14ac:dyDescent="0.35">
      <c r="A13" t="s">
        <v>336</v>
      </c>
    </row>
    <row r="14" spans="1:3" x14ac:dyDescent="0.35">
      <c r="A14" s="220" t="s">
        <v>396</v>
      </c>
      <c r="B14" s="220"/>
      <c r="C14" s="220"/>
    </row>
    <row r="15" spans="1:3" x14ac:dyDescent="0.35">
      <c r="A15" t="s">
        <v>337</v>
      </c>
    </row>
    <row r="16" spans="1:3" x14ac:dyDescent="0.35">
      <c r="A16" t="s">
        <v>338</v>
      </c>
    </row>
    <row r="17" spans="1:3" x14ac:dyDescent="0.35">
      <c r="A17" t="s">
        <v>339</v>
      </c>
    </row>
    <row r="18" spans="1:3" x14ac:dyDescent="0.35">
      <c r="A18" s="220" t="s">
        <v>397</v>
      </c>
      <c r="B18" s="220"/>
      <c r="C18" s="220"/>
    </row>
    <row r="19" spans="1:3" x14ac:dyDescent="0.35">
      <c r="A19" t="s">
        <v>340</v>
      </c>
    </row>
    <row r="20" spans="1:3" x14ac:dyDescent="0.35">
      <c r="A20" t="s">
        <v>341</v>
      </c>
    </row>
    <row r="21" spans="1:3" x14ac:dyDescent="0.35">
      <c r="A21" t="s">
        <v>342</v>
      </c>
    </row>
    <row r="22" spans="1:3" x14ac:dyDescent="0.35">
      <c r="A22" t="s">
        <v>343</v>
      </c>
    </row>
    <row r="23" spans="1:3" x14ac:dyDescent="0.35">
      <c r="A23" s="219" t="s">
        <v>398</v>
      </c>
      <c r="B23" s="219"/>
    </row>
    <row r="24" spans="1:3" x14ac:dyDescent="0.35">
      <c r="A24" t="s">
        <v>344</v>
      </c>
    </row>
    <row r="25" spans="1:3" x14ac:dyDescent="0.35">
      <c r="A25" t="s">
        <v>345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BSC 2023 DEPT PRD</vt:lpstr>
      <vt:lpstr>BUDGET</vt:lpstr>
      <vt:lpstr>TPM</vt:lpstr>
      <vt:lpstr>HARAPAN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</dc:creator>
  <cp:lastModifiedBy>Agung  TW</cp:lastModifiedBy>
  <dcterms:created xsi:type="dcterms:W3CDTF">2022-12-13T08:04:33Z</dcterms:created>
  <dcterms:modified xsi:type="dcterms:W3CDTF">2023-10-11T09:02:20Z</dcterms:modified>
</cp:coreProperties>
</file>