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"/>
    </mc:Choice>
  </mc:AlternateContent>
  <xr:revisionPtr revIDLastSave="0" documentId="13_ncr:1_{BC4C9A64-267B-443F-B740-E2555D4FE9AA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Dashboard" sheetId="19" r:id="rId1"/>
    <sheet name="BSC Corporate" sheetId="7" r:id="rId2"/>
    <sheet name="Database Corp." sheetId="2" r:id="rId3"/>
    <sheet name="BSC Dir Adm" sheetId="10" state="hidden" r:id="rId4"/>
    <sheet name="DB Dir Adm" sheetId="8" state="hidden" r:id="rId5"/>
    <sheet name="BSC Dir Produksi" sheetId="11" state="hidden" r:id="rId6"/>
    <sheet name="DB Dir Prod" sheetId="12" state="hidden" r:id="rId7"/>
    <sheet name="BSC Dir SLS &amp; MKT" sheetId="13" state="hidden" r:id="rId8"/>
    <sheet name="DB SLS &amp; MKT" sheetId="14" state="hidden" r:id="rId9"/>
    <sheet name="BSC Dir BusDev" sheetId="17" state="hidden" r:id="rId10"/>
    <sheet name="DB BusDev" sheetId="18" state="hidden" r:id="rId11"/>
    <sheet name="BSC Corporate1" sheetId="1" state="hidden" r:id="rId12"/>
  </sheets>
  <definedNames>
    <definedName name="_xlnm._FilterDatabase" localSheetId="1" hidden="1">'BSC Corporate'!$B$12:$N$53</definedName>
    <definedName name="_xlnm._FilterDatabase" localSheetId="11" hidden="1">'BSC Corporate1'!$A$8:$J$35</definedName>
    <definedName name="_xlnm._FilterDatabase" localSheetId="3" hidden="1">'BSC Dir Adm'!$B$14:$M$41</definedName>
    <definedName name="_xlnm._FilterDatabase" localSheetId="9" hidden="1">'BSC Dir BusDev'!$B$14:$M$50</definedName>
    <definedName name="_xlnm._FilterDatabase" localSheetId="5" hidden="1">'BSC Dir Produksi'!$B$14:$M$51</definedName>
    <definedName name="_xlnm._FilterDatabase" localSheetId="7" hidden="1">'BSC Dir SLS &amp; MKT'!$B$14:$M$51</definedName>
    <definedName name="_xlnm.Print_Area" localSheetId="1">'BSC Corporate'!$A$1:$O$85</definedName>
    <definedName name="_xlnm.Print_Area" localSheetId="3">'BSC Dir Adm'!$A$1:$N$73</definedName>
    <definedName name="_xlnm.Print_Area" localSheetId="9">'BSC Dir BusDev'!$A$1:$N$82</definedName>
    <definedName name="_xlnm.Print_Area" localSheetId="5">'BSC Dir Produksi'!$A$1:$N$83</definedName>
    <definedName name="_xlnm.Print_Area" localSheetId="7">'BSC Dir SLS &amp; MKT'!$A$1:$N$83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7" l="1"/>
  <c r="N101" i="2"/>
  <c r="D101" i="2"/>
  <c r="E101" i="2"/>
  <c r="F101" i="2"/>
  <c r="G101" i="2"/>
  <c r="H101" i="2"/>
  <c r="I101" i="2"/>
  <c r="J101" i="2"/>
  <c r="K101" i="2"/>
  <c r="L101" i="2"/>
  <c r="M101" i="2"/>
  <c r="C101" i="2"/>
  <c r="B101" i="2"/>
  <c r="K31" i="7"/>
  <c r="K50" i="7"/>
  <c r="M200" i="2"/>
  <c r="L200" i="2"/>
  <c r="K200" i="2"/>
  <c r="J200" i="2"/>
  <c r="I200" i="2"/>
  <c r="H200" i="2"/>
  <c r="G200" i="2"/>
  <c r="F200" i="2"/>
  <c r="E200" i="2"/>
  <c r="D200" i="2"/>
  <c r="C200" i="2"/>
  <c r="B200" i="2"/>
  <c r="N199" i="2"/>
  <c r="N200" i="2" s="1"/>
  <c r="M194" i="2"/>
  <c r="L194" i="2"/>
  <c r="K194" i="2"/>
  <c r="J194" i="2"/>
  <c r="I194" i="2"/>
  <c r="H194" i="2"/>
  <c r="G194" i="2"/>
  <c r="F194" i="2"/>
  <c r="E194" i="2"/>
  <c r="D194" i="2"/>
  <c r="C194" i="2"/>
  <c r="M192" i="2"/>
  <c r="M193" i="2" s="1"/>
  <c r="L192" i="2"/>
  <c r="L193" i="2" s="1"/>
  <c r="K192" i="2"/>
  <c r="K193" i="2" s="1"/>
  <c r="J192" i="2"/>
  <c r="J193" i="2" s="1"/>
  <c r="I192" i="2"/>
  <c r="I193" i="2" s="1"/>
  <c r="H192" i="2"/>
  <c r="H193" i="2" s="1"/>
  <c r="G192" i="2"/>
  <c r="G193" i="2" s="1"/>
  <c r="F192" i="2"/>
  <c r="F193" i="2" s="1"/>
  <c r="E192" i="2"/>
  <c r="E193" i="2" s="1"/>
  <c r="D192" i="2"/>
  <c r="D193" i="2" s="1"/>
  <c r="C192" i="2"/>
  <c r="C193" i="2" s="1"/>
  <c r="B192" i="2"/>
  <c r="B193" i="2" s="1"/>
  <c r="B194" i="2" s="1"/>
  <c r="N191" i="2"/>
  <c r="N190" i="2"/>
  <c r="N189" i="2"/>
  <c r="N192" i="2" l="1"/>
  <c r="N193" i="2"/>
  <c r="K32" i="7"/>
  <c r="M184" i="2" l="1"/>
  <c r="L184" i="2"/>
  <c r="K184" i="2"/>
  <c r="J184" i="2"/>
  <c r="I184" i="2"/>
  <c r="H184" i="2"/>
  <c r="G184" i="2"/>
  <c r="F184" i="2"/>
  <c r="E184" i="2"/>
  <c r="D184" i="2"/>
  <c r="C184" i="2"/>
  <c r="M181" i="2"/>
  <c r="M182" i="2" s="1"/>
  <c r="L181" i="2"/>
  <c r="L182" i="2" s="1"/>
  <c r="K181" i="2"/>
  <c r="K182" i="2" s="1"/>
  <c r="J181" i="2"/>
  <c r="J182" i="2" s="1"/>
  <c r="I181" i="2"/>
  <c r="I182" i="2" s="1"/>
  <c r="H181" i="2"/>
  <c r="H182" i="2" s="1"/>
  <c r="G181" i="2"/>
  <c r="G182" i="2" s="1"/>
  <c r="F181" i="2"/>
  <c r="F182" i="2" s="1"/>
  <c r="E181" i="2"/>
  <c r="E182" i="2" s="1"/>
  <c r="D181" i="2"/>
  <c r="D182" i="2" s="1"/>
  <c r="C181" i="2"/>
  <c r="C182" i="2" s="1"/>
  <c r="B181" i="2"/>
  <c r="B182" i="2" s="1"/>
  <c r="N180" i="2"/>
  <c r="N181" i="2" s="1"/>
  <c r="N182" i="2" s="1"/>
  <c r="N178" i="2"/>
  <c r="N177" i="2" s="1"/>
  <c r="M177" i="2"/>
  <c r="M174" i="2" s="1"/>
  <c r="L177" i="2"/>
  <c r="K177" i="2"/>
  <c r="K174" i="2" s="1"/>
  <c r="J177" i="2"/>
  <c r="I177" i="2"/>
  <c r="I174" i="2" s="1"/>
  <c r="H177" i="2"/>
  <c r="G177" i="2"/>
  <c r="G174" i="2" s="1"/>
  <c r="F177" i="2"/>
  <c r="F174" i="2" s="1"/>
  <c r="E177" i="2"/>
  <c r="E174" i="2" s="1"/>
  <c r="D177" i="2"/>
  <c r="C177" i="2"/>
  <c r="C174" i="2" s="1"/>
  <c r="B177" i="2"/>
  <c r="B174" i="2" s="1"/>
  <c r="J174" i="2"/>
  <c r="D183" i="2" l="1"/>
  <c r="L183" i="2"/>
  <c r="K179" i="2"/>
  <c r="G179" i="2"/>
  <c r="H183" i="2"/>
  <c r="D174" i="2"/>
  <c r="L174" i="2"/>
  <c r="B183" i="2"/>
  <c r="B184" i="2" s="1"/>
  <c r="J183" i="2"/>
  <c r="H174" i="2"/>
  <c r="C179" i="2"/>
  <c r="F183" i="2"/>
  <c r="N179" i="2"/>
  <c r="N183" i="2" s="1"/>
  <c r="N174" i="2"/>
  <c r="C183" i="2"/>
  <c r="G183" i="2"/>
  <c r="K183" i="2"/>
  <c r="D179" i="2"/>
  <c r="H179" i="2"/>
  <c r="L179" i="2"/>
  <c r="E179" i="2"/>
  <c r="E183" i="2"/>
  <c r="I183" i="2"/>
  <c r="M183" i="2"/>
  <c r="I179" i="2"/>
  <c r="M179" i="2"/>
  <c r="B179" i="2"/>
  <c r="F179" i="2"/>
  <c r="J179" i="2"/>
  <c r="K47" i="7" l="1"/>
  <c r="M170" i="2"/>
  <c r="L170" i="2"/>
  <c r="K170" i="2"/>
  <c r="J170" i="2"/>
  <c r="I170" i="2"/>
  <c r="H170" i="2"/>
  <c r="G170" i="2"/>
  <c r="F170" i="2"/>
  <c r="E170" i="2"/>
  <c r="D170" i="2"/>
  <c r="C170" i="2"/>
  <c r="B170" i="2"/>
  <c r="N169" i="2"/>
  <c r="N170" i="2" s="1"/>
  <c r="K46" i="7" s="1"/>
  <c r="N168" i="2"/>
  <c r="N163" i="2"/>
  <c r="K45" i="7" s="1"/>
  <c r="K40" i="7"/>
  <c r="M150" i="2"/>
  <c r="L150" i="2"/>
  <c r="K150" i="2"/>
  <c r="J150" i="2"/>
  <c r="I150" i="2"/>
  <c r="H150" i="2"/>
  <c r="G150" i="2"/>
  <c r="F150" i="2"/>
  <c r="E150" i="2"/>
  <c r="D150" i="2"/>
  <c r="C150" i="2"/>
  <c r="B150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N158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N149" i="2" l="1"/>
  <c r="K39" i="7" s="1"/>
  <c r="N151" i="2" l="1"/>
  <c r="M143" i="2"/>
  <c r="L143" i="2"/>
  <c r="K143" i="2"/>
  <c r="J143" i="2"/>
  <c r="I143" i="2"/>
  <c r="H143" i="2"/>
  <c r="G143" i="2"/>
  <c r="F143" i="2"/>
  <c r="E143" i="2"/>
  <c r="D143" i="2"/>
  <c r="C143" i="2"/>
  <c r="B143" i="2"/>
  <c r="N142" i="2"/>
  <c r="K33" i="7" s="1"/>
  <c r="N141" i="2"/>
  <c r="N143" i="2" l="1"/>
  <c r="M137" i="2" l="1"/>
  <c r="L137" i="2"/>
  <c r="K137" i="2"/>
  <c r="J137" i="2"/>
  <c r="I137" i="2"/>
  <c r="H137" i="2"/>
  <c r="G137" i="2"/>
  <c r="F137" i="2"/>
  <c r="E137" i="2"/>
  <c r="D137" i="2"/>
  <c r="C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B137" i="2" s="1"/>
  <c r="N135" i="2"/>
  <c r="N136" i="2" s="1"/>
  <c r="M129" i="2" l="1"/>
  <c r="L129" i="2"/>
  <c r="K129" i="2"/>
  <c r="J129" i="2"/>
  <c r="I129" i="2"/>
  <c r="H129" i="2"/>
  <c r="G129" i="2"/>
  <c r="F129" i="2"/>
  <c r="E129" i="2"/>
  <c r="D129" i="2"/>
  <c r="C129" i="2"/>
  <c r="B129" i="2"/>
  <c r="N128" i="2"/>
  <c r="K29" i="7" s="1"/>
  <c r="N127" i="2"/>
  <c r="N129" i="2" l="1"/>
  <c r="C122" i="2" l="1"/>
  <c r="D122" i="2"/>
  <c r="E122" i="2"/>
  <c r="F122" i="2"/>
  <c r="G122" i="2"/>
  <c r="H122" i="2"/>
  <c r="I122" i="2"/>
  <c r="J122" i="2"/>
  <c r="K122" i="2"/>
  <c r="L122" i="2"/>
  <c r="M122" i="2"/>
  <c r="D121" i="2"/>
  <c r="D123" i="2" s="1"/>
  <c r="E121" i="2"/>
  <c r="E123" i="2" s="1"/>
  <c r="F121" i="2"/>
  <c r="F123" i="2" s="1"/>
  <c r="G121" i="2"/>
  <c r="G123" i="2" s="1"/>
  <c r="H121" i="2"/>
  <c r="H123" i="2" s="1"/>
  <c r="I121" i="2"/>
  <c r="I123" i="2" s="1"/>
  <c r="J121" i="2"/>
  <c r="J123" i="2" s="1"/>
  <c r="K121" i="2"/>
  <c r="K123" i="2" s="1"/>
  <c r="L121" i="2"/>
  <c r="L123" i="2" s="1"/>
  <c r="M121" i="2"/>
  <c r="M123" i="2" s="1"/>
  <c r="C121" i="2"/>
  <c r="C123" i="2" s="1"/>
  <c r="B122" i="2"/>
  <c r="B123" i="2" s="1"/>
  <c r="B121" i="2"/>
  <c r="N120" i="2"/>
  <c r="K27" i="7" s="1"/>
  <c r="C114" i="2"/>
  <c r="D114" i="2"/>
  <c r="E114" i="2"/>
  <c r="F114" i="2"/>
  <c r="G114" i="2"/>
  <c r="H114" i="2"/>
  <c r="I114" i="2"/>
  <c r="J114" i="2"/>
  <c r="K114" i="2"/>
  <c r="L114" i="2"/>
  <c r="M114" i="2"/>
  <c r="B114" i="2"/>
  <c r="D113" i="2"/>
  <c r="D115" i="2" s="1"/>
  <c r="E113" i="2"/>
  <c r="E115" i="2" s="1"/>
  <c r="F113" i="2"/>
  <c r="F115" i="2" s="1"/>
  <c r="G113" i="2"/>
  <c r="G115" i="2" s="1"/>
  <c r="H113" i="2"/>
  <c r="H115" i="2" s="1"/>
  <c r="I113" i="2"/>
  <c r="I115" i="2" s="1"/>
  <c r="J113" i="2"/>
  <c r="J115" i="2" s="1"/>
  <c r="K113" i="2"/>
  <c r="K115" i="2" s="1"/>
  <c r="L113" i="2"/>
  <c r="L115" i="2" s="1"/>
  <c r="M113" i="2"/>
  <c r="M115" i="2" s="1"/>
  <c r="C113" i="2"/>
  <c r="C115" i="2" s="1"/>
  <c r="B113" i="2"/>
  <c r="B115" i="2" s="1"/>
  <c r="N112" i="2"/>
  <c r="K25" i="7" s="1"/>
  <c r="N122" i="2" l="1"/>
  <c r="N121" i="2"/>
  <c r="N113" i="2"/>
  <c r="N114" i="2" s="1"/>
  <c r="N106" i="2" l="1"/>
  <c r="C107" i="2"/>
  <c r="D107" i="2"/>
  <c r="E107" i="2"/>
  <c r="F107" i="2"/>
  <c r="K49" i="7" s="1"/>
  <c r="G107" i="2"/>
  <c r="H107" i="2"/>
  <c r="I107" i="2"/>
  <c r="J107" i="2"/>
  <c r="K107" i="2"/>
  <c r="L107" i="2"/>
  <c r="M107" i="2"/>
  <c r="B107" i="2"/>
  <c r="E91" i="2" l="1"/>
  <c r="M65" i="2"/>
  <c r="L65" i="2"/>
  <c r="K65" i="2"/>
  <c r="J65" i="2"/>
  <c r="I65" i="2"/>
  <c r="H65" i="2"/>
  <c r="N22" i="2"/>
  <c r="I24" i="2"/>
  <c r="M24" i="2"/>
  <c r="B23" i="2"/>
  <c r="C23" i="2"/>
  <c r="D23" i="2"/>
  <c r="H23" i="2"/>
  <c r="L23" i="2"/>
  <c r="B24" i="2"/>
  <c r="C24" i="2"/>
  <c r="D24" i="2"/>
  <c r="F24" i="2"/>
  <c r="G24" i="2"/>
  <c r="H24" i="2"/>
  <c r="J24" i="2"/>
  <c r="K24" i="2"/>
  <c r="L24" i="2"/>
  <c r="B25" i="2"/>
  <c r="C25" i="2"/>
  <c r="D25" i="2"/>
  <c r="G25" i="2"/>
  <c r="K25" i="2"/>
  <c r="J25" i="2" l="1"/>
  <c r="F25" i="2"/>
  <c r="K23" i="2"/>
  <c r="G23" i="2"/>
  <c r="M25" i="2"/>
  <c r="I25" i="2"/>
  <c r="E25" i="2"/>
  <c r="J23" i="2"/>
  <c r="F23" i="2"/>
  <c r="L25" i="2"/>
  <c r="H25" i="2"/>
  <c r="E24" i="2"/>
  <c r="M23" i="2"/>
  <c r="I23" i="2"/>
  <c r="E23" i="2"/>
  <c r="N4" i="2" l="1"/>
  <c r="K14" i="7" s="1"/>
  <c r="AC106" i="12"/>
  <c r="AC97" i="12"/>
  <c r="AC89" i="12"/>
  <c r="AC50" i="12"/>
  <c r="AC24" i="12"/>
  <c r="I6" i="7"/>
  <c r="L58" i="7"/>
  <c r="M58" i="7"/>
  <c r="N58" i="7" s="1"/>
  <c r="N73" i="7"/>
  <c r="H62" i="7"/>
  <c r="H61" i="7"/>
  <c r="Q32" i="18"/>
  <c r="Q40" i="18"/>
  <c r="B39" i="18" s="1"/>
  <c r="Q40" i="2" s="1"/>
  <c r="D66" i="18"/>
  <c r="E66" i="18"/>
  <c r="F66" i="18"/>
  <c r="G66" i="18"/>
  <c r="H66" i="18"/>
  <c r="I66" i="18"/>
  <c r="J66" i="18"/>
  <c r="K66" i="18"/>
  <c r="L66" i="18"/>
  <c r="M66" i="18"/>
  <c r="C66" i="18"/>
  <c r="D113" i="18"/>
  <c r="E113" i="18"/>
  <c r="F113" i="18"/>
  <c r="G113" i="18"/>
  <c r="H113" i="18"/>
  <c r="I113" i="18"/>
  <c r="J113" i="18"/>
  <c r="K113" i="18"/>
  <c r="L113" i="18"/>
  <c r="M113" i="18"/>
  <c r="C113" i="18"/>
  <c r="D104" i="18"/>
  <c r="E104" i="18"/>
  <c r="F104" i="18"/>
  <c r="G104" i="18"/>
  <c r="H104" i="18"/>
  <c r="I104" i="18"/>
  <c r="J104" i="18"/>
  <c r="K104" i="18"/>
  <c r="L104" i="18"/>
  <c r="M104" i="18"/>
  <c r="C104" i="18"/>
  <c r="C95" i="18"/>
  <c r="D95" i="18"/>
  <c r="E95" i="18"/>
  <c r="F95" i="18"/>
  <c r="G95" i="18"/>
  <c r="H95" i="18"/>
  <c r="I95" i="18"/>
  <c r="J95" i="18"/>
  <c r="K95" i="18"/>
  <c r="L95" i="18"/>
  <c r="M95" i="18"/>
  <c r="D86" i="18"/>
  <c r="E86" i="18"/>
  <c r="F86" i="18"/>
  <c r="G86" i="18"/>
  <c r="H86" i="18"/>
  <c r="I86" i="18"/>
  <c r="J86" i="18"/>
  <c r="K86" i="18"/>
  <c r="L86" i="18"/>
  <c r="M86" i="18"/>
  <c r="C86" i="18"/>
  <c r="D75" i="18"/>
  <c r="E75" i="18"/>
  <c r="F75" i="18"/>
  <c r="G75" i="18"/>
  <c r="H75" i="18"/>
  <c r="I75" i="18"/>
  <c r="J75" i="18"/>
  <c r="K75" i="18"/>
  <c r="L75" i="18"/>
  <c r="M75" i="18"/>
  <c r="C75" i="18"/>
  <c r="D64" i="18"/>
  <c r="E64" i="18"/>
  <c r="F64" i="18"/>
  <c r="G64" i="18"/>
  <c r="H64" i="18"/>
  <c r="I64" i="18"/>
  <c r="J64" i="18"/>
  <c r="K64" i="18"/>
  <c r="L64" i="18"/>
  <c r="M64" i="18"/>
  <c r="C64" i="18"/>
  <c r="C65" i="18"/>
  <c r="R51" i="8"/>
  <c r="C47" i="8" s="1"/>
  <c r="S51" i="8"/>
  <c r="T51" i="8"/>
  <c r="U51" i="8"/>
  <c r="V51" i="8"/>
  <c r="W51" i="8"/>
  <c r="X51" i="8"/>
  <c r="Y51" i="8"/>
  <c r="J47" i="8" s="1"/>
  <c r="Z51" i="8"/>
  <c r="K47" i="8" s="1"/>
  <c r="AA51" i="8"/>
  <c r="AB51" i="8"/>
  <c r="AC51" i="8"/>
  <c r="Q51" i="8"/>
  <c r="R42" i="8"/>
  <c r="S42" i="8"/>
  <c r="T42" i="8"/>
  <c r="U42" i="8"/>
  <c r="V42" i="8"/>
  <c r="W42" i="8"/>
  <c r="X42" i="8"/>
  <c r="Y42" i="8"/>
  <c r="Z42" i="8"/>
  <c r="AA42" i="8"/>
  <c r="AB42" i="8"/>
  <c r="AC42" i="8"/>
  <c r="Q42" i="8"/>
  <c r="M47" i="7"/>
  <c r="M46" i="7"/>
  <c r="M45" i="7"/>
  <c r="N45" i="7" s="1"/>
  <c r="M40" i="7"/>
  <c r="M39" i="7"/>
  <c r="N39" i="7" s="1"/>
  <c r="M38" i="7"/>
  <c r="M37" i="7"/>
  <c r="N37" i="7" s="1"/>
  <c r="M36" i="7"/>
  <c r="M35" i="7"/>
  <c r="M34" i="7"/>
  <c r="M33" i="7"/>
  <c r="M32" i="7"/>
  <c r="N32" i="7" s="1"/>
  <c r="M27" i="7"/>
  <c r="M26" i="7"/>
  <c r="N26" i="7" s="1"/>
  <c r="M25" i="7"/>
  <c r="N25" i="7" s="1"/>
  <c r="M24" i="7"/>
  <c r="M22" i="7"/>
  <c r="M21" i="7"/>
  <c r="E24" i="8"/>
  <c r="F24" i="8"/>
  <c r="I24" i="8"/>
  <c r="J24" i="8"/>
  <c r="M24" i="8"/>
  <c r="E7" i="8"/>
  <c r="F7" i="8"/>
  <c r="G7" i="8"/>
  <c r="H7" i="8"/>
  <c r="I7" i="8"/>
  <c r="J7" i="8"/>
  <c r="K7" i="8"/>
  <c r="L7" i="8"/>
  <c r="M7" i="8"/>
  <c r="D7" i="8"/>
  <c r="C7" i="8"/>
  <c r="L5" i="8"/>
  <c r="K5" i="8"/>
  <c r="J5" i="8"/>
  <c r="I5" i="8"/>
  <c r="H5" i="8"/>
  <c r="G5" i="8"/>
  <c r="F5" i="8"/>
  <c r="E5" i="8"/>
  <c r="D5" i="8"/>
  <c r="C5" i="8"/>
  <c r="L59" i="8"/>
  <c r="K59" i="8"/>
  <c r="J59" i="8"/>
  <c r="I59" i="8"/>
  <c r="H59" i="8"/>
  <c r="G59" i="8"/>
  <c r="F59" i="8"/>
  <c r="E59" i="8"/>
  <c r="D59" i="8"/>
  <c r="C59" i="8"/>
  <c r="L31" i="8"/>
  <c r="K31" i="8"/>
  <c r="J31" i="8"/>
  <c r="I31" i="8"/>
  <c r="H31" i="8"/>
  <c r="G31" i="8"/>
  <c r="F31" i="8"/>
  <c r="E31" i="8"/>
  <c r="D31" i="8"/>
  <c r="C31" i="8"/>
  <c r="N105" i="2"/>
  <c r="N107" i="2" s="1"/>
  <c r="J50" i="7"/>
  <c r="N99" i="2"/>
  <c r="N98" i="2"/>
  <c r="N97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R88" i="2"/>
  <c r="S88" i="2"/>
  <c r="T88" i="2"/>
  <c r="U88" i="2"/>
  <c r="V88" i="2"/>
  <c r="W88" i="2"/>
  <c r="X88" i="2"/>
  <c r="Y88" i="2"/>
  <c r="Z88" i="2"/>
  <c r="AA88" i="2"/>
  <c r="AB88" i="2"/>
  <c r="R89" i="2"/>
  <c r="S89" i="2"/>
  <c r="T89" i="2"/>
  <c r="U89" i="2"/>
  <c r="V89" i="2"/>
  <c r="W89" i="2"/>
  <c r="X89" i="2"/>
  <c r="Y89" i="2"/>
  <c r="Z89" i="2"/>
  <c r="AA89" i="2"/>
  <c r="AB89" i="2"/>
  <c r="R90" i="2"/>
  <c r="S90" i="2"/>
  <c r="T90" i="2"/>
  <c r="U90" i="2"/>
  <c r="V90" i="2"/>
  <c r="W90" i="2"/>
  <c r="X90" i="2"/>
  <c r="Y90" i="2"/>
  <c r="Z90" i="2"/>
  <c r="AA90" i="2"/>
  <c r="AB90" i="2"/>
  <c r="Q90" i="2"/>
  <c r="Q89" i="2"/>
  <c r="Q88" i="2"/>
  <c r="R80" i="2"/>
  <c r="S80" i="2"/>
  <c r="T80" i="2"/>
  <c r="U80" i="2"/>
  <c r="V80" i="2"/>
  <c r="W80" i="2"/>
  <c r="X80" i="2"/>
  <c r="Y80" i="2"/>
  <c r="Z80" i="2"/>
  <c r="AA80" i="2"/>
  <c r="AB80" i="2"/>
  <c r="R81" i="2"/>
  <c r="S81" i="2"/>
  <c r="T81" i="2"/>
  <c r="U81" i="2"/>
  <c r="V81" i="2"/>
  <c r="W81" i="2"/>
  <c r="X81" i="2"/>
  <c r="Y81" i="2"/>
  <c r="Z81" i="2"/>
  <c r="AA81" i="2"/>
  <c r="AB81" i="2"/>
  <c r="Q81" i="2"/>
  <c r="Q80" i="2"/>
  <c r="R71" i="2"/>
  <c r="S71" i="2"/>
  <c r="T71" i="2"/>
  <c r="U71" i="2"/>
  <c r="V71" i="2"/>
  <c r="W71" i="2"/>
  <c r="X71" i="2"/>
  <c r="Y71" i="2"/>
  <c r="Z71" i="2"/>
  <c r="AA71" i="2"/>
  <c r="AB71" i="2"/>
  <c r="R72" i="2"/>
  <c r="S72" i="2"/>
  <c r="T72" i="2"/>
  <c r="U72" i="2"/>
  <c r="V72" i="2"/>
  <c r="W72" i="2"/>
  <c r="X72" i="2"/>
  <c r="Y72" i="2"/>
  <c r="Z72" i="2"/>
  <c r="AA72" i="2"/>
  <c r="AB72" i="2"/>
  <c r="R73" i="2"/>
  <c r="S73" i="2"/>
  <c r="T73" i="2"/>
  <c r="U73" i="2"/>
  <c r="V73" i="2"/>
  <c r="W73" i="2"/>
  <c r="X73" i="2"/>
  <c r="Y73" i="2"/>
  <c r="Z73" i="2"/>
  <c r="AA73" i="2"/>
  <c r="AB73" i="2"/>
  <c r="Q73" i="2"/>
  <c r="Q72" i="2"/>
  <c r="Q71" i="2"/>
  <c r="C54" i="2"/>
  <c r="D54" i="2"/>
  <c r="E54" i="2"/>
  <c r="F54" i="2"/>
  <c r="G54" i="2"/>
  <c r="H54" i="2"/>
  <c r="I54" i="2"/>
  <c r="J54" i="2"/>
  <c r="K54" i="2"/>
  <c r="L54" i="2"/>
  <c r="M54" i="2"/>
  <c r="B54" i="2"/>
  <c r="F22" i="18"/>
  <c r="J22" i="18"/>
  <c r="B22" i="18"/>
  <c r="B23" i="18" s="1"/>
  <c r="F13" i="18"/>
  <c r="J13" i="18"/>
  <c r="M4" i="12"/>
  <c r="C22" i="18"/>
  <c r="D22" i="18"/>
  <c r="E22" i="18"/>
  <c r="G22" i="18"/>
  <c r="H22" i="18"/>
  <c r="I22" i="18"/>
  <c r="K22" i="18"/>
  <c r="L22" i="18"/>
  <c r="M22" i="18"/>
  <c r="C31" i="14"/>
  <c r="D31" i="14"/>
  <c r="E31" i="14"/>
  <c r="G31" i="14"/>
  <c r="H31" i="14"/>
  <c r="I31" i="14"/>
  <c r="K31" i="14"/>
  <c r="L31" i="14"/>
  <c r="M31" i="14"/>
  <c r="M13" i="12"/>
  <c r="L13" i="12"/>
  <c r="K13" i="12"/>
  <c r="I13" i="12"/>
  <c r="H13" i="12"/>
  <c r="G13" i="12"/>
  <c r="E13" i="12"/>
  <c r="D13" i="12"/>
  <c r="C13" i="12"/>
  <c r="C13" i="18"/>
  <c r="D13" i="18"/>
  <c r="E13" i="18"/>
  <c r="G13" i="18"/>
  <c r="H13" i="18"/>
  <c r="I13" i="18"/>
  <c r="M13" i="18"/>
  <c r="C22" i="14"/>
  <c r="D22" i="14"/>
  <c r="E22" i="14"/>
  <c r="F22" i="14"/>
  <c r="G22" i="14"/>
  <c r="H22" i="14"/>
  <c r="I22" i="14"/>
  <c r="J22" i="14"/>
  <c r="I4" i="12"/>
  <c r="H4" i="12"/>
  <c r="G4" i="12"/>
  <c r="E4" i="12"/>
  <c r="D4" i="12"/>
  <c r="C4" i="12"/>
  <c r="C62" i="2"/>
  <c r="C65" i="2" s="1"/>
  <c r="D62" i="2"/>
  <c r="D65" i="2" s="1"/>
  <c r="E62" i="2"/>
  <c r="E65" i="2" s="1"/>
  <c r="F62" i="2"/>
  <c r="F65" i="2" s="1"/>
  <c r="G62" i="2"/>
  <c r="G65" i="2" s="1"/>
  <c r="H62" i="2"/>
  <c r="I62" i="2"/>
  <c r="J62" i="2"/>
  <c r="K62" i="2"/>
  <c r="L62" i="2"/>
  <c r="M62" i="2"/>
  <c r="B62" i="2"/>
  <c r="B65" i="2" s="1"/>
  <c r="N45" i="2"/>
  <c r="D48" i="18"/>
  <c r="E48" i="18"/>
  <c r="F48" i="18"/>
  <c r="G48" i="18"/>
  <c r="H48" i="18"/>
  <c r="I48" i="18"/>
  <c r="J48" i="18"/>
  <c r="K48" i="18"/>
  <c r="L48" i="18"/>
  <c r="M48" i="18"/>
  <c r="C48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48" i="18"/>
  <c r="N47" i="18"/>
  <c r="N49" i="18" s="1"/>
  <c r="N46" i="18"/>
  <c r="N56" i="14"/>
  <c r="C58" i="14"/>
  <c r="D58" i="14"/>
  <c r="E58" i="14"/>
  <c r="F58" i="14"/>
  <c r="G58" i="14"/>
  <c r="H58" i="14"/>
  <c r="I58" i="14"/>
  <c r="J58" i="14"/>
  <c r="K58" i="14"/>
  <c r="L58" i="14"/>
  <c r="M58" i="14"/>
  <c r="B58" i="14"/>
  <c r="D57" i="14"/>
  <c r="E57" i="14"/>
  <c r="F57" i="14"/>
  <c r="G57" i="14"/>
  <c r="H57" i="14"/>
  <c r="I57" i="14"/>
  <c r="J57" i="14"/>
  <c r="K57" i="14"/>
  <c r="L57" i="14"/>
  <c r="M57" i="14"/>
  <c r="C57" i="14"/>
  <c r="N55" i="14"/>
  <c r="N58" i="14" s="1"/>
  <c r="R46" i="2"/>
  <c r="S46" i="2"/>
  <c r="T46" i="2"/>
  <c r="U46" i="2"/>
  <c r="V46" i="2"/>
  <c r="W46" i="2"/>
  <c r="X46" i="2"/>
  <c r="Y46" i="2"/>
  <c r="Z46" i="2"/>
  <c r="AA46" i="2"/>
  <c r="AB46" i="2"/>
  <c r="AC46" i="2"/>
  <c r="Q46" i="2"/>
  <c r="R45" i="2"/>
  <c r="S45" i="2"/>
  <c r="T45" i="2"/>
  <c r="U45" i="2"/>
  <c r="V45" i="2"/>
  <c r="W45" i="2"/>
  <c r="X45" i="2"/>
  <c r="Y45" i="2"/>
  <c r="Z45" i="2"/>
  <c r="AA45" i="2"/>
  <c r="AB45" i="2"/>
  <c r="Q45" i="2"/>
  <c r="N38" i="2"/>
  <c r="S40" i="2"/>
  <c r="W40" i="2"/>
  <c r="AA40" i="2"/>
  <c r="U39" i="2"/>
  <c r="Y39" i="2"/>
  <c r="C3" i="18"/>
  <c r="D3" i="18"/>
  <c r="E3" i="18"/>
  <c r="E6" i="18" s="1"/>
  <c r="F3" i="18"/>
  <c r="G3" i="18"/>
  <c r="H3" i="18"/>
  <c r="I3" i="18"/>
  <c r="J3" i="18"/>
  <c r="K3" i="18"/>
  <c r="L3" i="18"/>
  <c r="M3" i="18"/>
  <c r="M6" i="18" s="1"/>
  <c r="B3" i="18"/>
  <c r="B3" i="14"/>
  <c r="C3" i="14"/>
  <c r="C6" i="14" s="1"/>
  <c r="D3" i="14"/>
  <c r="E3" i="14"/>
  <c r="F3" i="14"/>
  <c r="G3" i="14"/>
  <c r="H3" i="14"/>
  <c r="I3" i="14"/>
  <c r="J3" i="14"/>
  <c r="K3" i="14"/>
  <c r="L3" i="14"/>
  <c r="M3" i="14"/>
  <c r="F6" i="14"/>
  <c r="I42" i="17"/>
  <c r="I20" i="17"/>
  <c r="I19" i="17"/>
  <c r="AB111" i="18"/>
  <c r="M110" i="18" s="1"/>
  <c r="M112" i="18" s="1"/>
  <c r="AA111" i="18"/>
  <c r="L110" i="18" s="1"/>
  <c r="L112" i="18" s="1"/>
  <c r="Z111" i="18"/>
  <c r="K110" i="18" s="1"/>
  <c r="K112" i="18" s="1"/>
  <c r="Y111" i="18"/>
  <c r="J110" i="18" s="1"/>
  <c r="J112" i="18" s="1"/>
  <c r="X111" i="18"/>
  <c r="W111" i="18"/>
  <c r="H110" i="18" s="1"/>
  <c r="H112" i="18" s="1"/>
  <c r="V111" i="18"/>
  <c r="G110" i="18" s="1"/>
  <c r="G112" i="18" s="1"/>
  <c r="U111" i="18"/>
  <c r="F110" i="18" s="1"/>
  <c r="F112" i="18" s="1"/>
  <c r="T111" i="18"/>
  <c r="E110" i="18" s="1"/>
  <c r="E112" i="18" s="1"/>
  <c r="S111" i="18"/>
  <c r="D110" i="18" s="1"/>
  <c r="D112" i="18" s="1"/>
  <c r="R111" i="18"/>
  <c r="C110" i="18" s="1"/>
  <c r="C112" i="18" s="1"/>
  <c r="Q111" i="18"/>
  <c r="B110" i="18" s="1"/>
  <c r="B111" i="18" s="1"/>
  <c r="AC110" i="18"/>
  <c r="I110" i="18"/>
  <c r="I112" i="18" s="1"/>
  <c r="AC109" i="18"/>
  <c r="N109" i="18"/>
  <c r="I46" i="17" s="1"/>
  <c r="AB102" i="18"/>
  <c r="M101" i="18" s="1"/>
  <c r="M103" i="18" s="1"/>
  <c r="AA102" i="18"/>
  <c r="L101" i="18" s="1"/>
  <c r="L103" i="18" s="1"/>
  <c r="Z102" i="18"/>
  <c r="K101" i="18" s="1"/>
  <c r="K103" i="18" s="1"/>
  <c r="Y102" i="18"/>
  <c r="J101" i="18" s="1"/>
  <c r="J103" i="18" s="1"/>
  <c r="X102" i="18"/>
  <c r="I101" i="18" s="1"/>
  <c r="I103" i="18" s="1"/>
  <c r="W102" i="18"/>
  <c r="V102" i="18"/>
  <c r="G101" i="18" s="1"/>
  <c r="G103" i="18" s="1"/>
  <c r="U102" i="18"/>
  <c r="F101" i="18" s="1"/>
  <c r="F103" i="18" s="1"/>
  <c r="T102" i="18"/>
  <c r="E101" i="18" s="1"/>
  <c r="E103" i="18" s="1"/>
  <c r="S102" i="18"/>
  <c r="R102" i="18"/>
  <c r="C101" i="18" s="1"/>
  <c r="C103" i="18" s="1"/>
  <c r="Q102" i="18"/>
  <c r="B101" i="18" s="1"/>
  <c r="AC101" i="18"/>
  <c r="H101" i="18"/>
  <c r="H103" i="18" s="1"/>
  <c r="D101" i="18"/>
  <c r="D103" i="18" s="1"/>
  <c r="AC100" i="18"/>
  <c r="N100" i="18"/>
  <c r="AB94" i="18"/>
  <c r="M93" i="18" s="1"/>
  <c r="M94" i="18" s="1"/>
  <c r="AA94" i="18"/>
  <c r="L93" i="18" s="1"/>
  <c r="L94" i="18" s="1"/>
  <c r="Z94" i="18"/>
  <c r="K93" i="18" s="1"/>
  <c r="K94" i="18" s="1"/>
  <c r="Y94" i="18"/>
  <c r="J93" i="18" s="1"/>
  <c r="J94" i="18" s="1"/>
  <c r="X94" i="18"/>
  <c r="I93" i="18" s="1"/>
  <c r="I94" i="18" s="1"/>
  <c r="W94" i="18"/>
  <c r="H93" i="18" s="1"/>
  <c r="H94" i="18" s="1"/>
  <c r="V94" i="18"/>
  <c r="G93" i="18" s="1"/>
  <c r="G94" i="18" s="1"/>
  <c r="U94" i="18"/>
  <c r="F93" i="18" s="1"/>
  <c r="F94" i="18" s="1"/>
  <c r="T94" i="18"/>
  <c r="E93" i="18" s="1"/>
  <c r="E94" i="18" s="1"/>
  <c r="S94" i="18"/>
  <c r="D93" i="18" s="1"/>
  <c r="D94" i="18" s="1"/>
  <c r="R94" i="18"/>
  <c r="C93" i="18" s="1"/>
  <c r="C94" i="18" s="1"/>
  <c r="Q94" i="18"/>
  <c r="B93" i="18" s="1"/>
  <c r="B94" i="18" s="1"/>
  <c r="B95" i="18" s="1"/>
  <c r="AC93" i="18"/>
  <c r="AC92" i="18"/>
  <c r="N92" i="18"/>
  <c r="I41" i="17" s="1"/>
  <c r="M84" i="18"/>
  <c r="M85" i="18" s="1"/>
  <c r="L84" i="18"/>
  <c r="L85" i="18" s="1"/>
  <c r="K84" i="18"/>
  <c r="K85" i="18" s="1"/>
  <c r="J84" i="18"/>
  <c r="J85" i="18" s="1"/>
  <c r="I84" i="18"/>
  <c r="I85" i="18" s="1"/>
  <c r="H84" i="18"/>
  <c r="H85" i="18" s="1"/>
  <c r="G84" i="18"/>
  <c r="G85" i="18" s="1"/>
  <c r="F84" i="18"/>
  <c r="F85" i="18" s="1"/>
  <c r="E84" i="18"/>
  <c r="E85" i="18" s="1"/>
  <c r="D84" i="18"/>
  <c r="D85" i="18" s="1"/>
  <c r="C84" i="18"/>
  <c r="C85" i="18" s="1"/>
  <c r="B84" i="18"/>
  <c r="B85" i="18" s="1"/>
  <c r="N83" i="18"/>
  <c r="I30" i="17" s="1"/>
  <c r="N82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N80" i="18"/>
  <c r="AB73" i="18"/>
  <c r="M72" i="18" s="1"/>
  <c r="M74" i="18" s="1"/>
  <c r="AA73" i="18"/>
  <c r="L72" i="18" s="1"/>
  <c r="L74" i="18" s="1"/>
  <c r="Z73" i="18"/>
  <c r="K72" i="18" s="1"/>
  <c r="K74" i="18" s="1"/>
  <c r="Y73" i="18"/>
  <c r="J72" i="18" s="1"/>
  <c r="J74" i="18" s="1"/>
  <c r="X73" i="18"/>
  <c r="I72" i="18" s="1"/>
  <c r="I74" i="18" s="1"/>
  <c r="W73" i="18"/>
  <c r="H72" i="18" s="1"/>
  <c r="H74" i="18" s="1"/>
  <c r="V73" i="18"/>
  <c r="G72" i="18" s="1"/>
  <c r="G74" i="18" s="1"/>
  <c r="U73" i="18"/>
  <c r="F72" i="18" s="1"/>
  <c r="F74" i="18" s="1"/>
  <c r="T73" i="18"/>
  <c r="E72" i="18" s="1"/>
  <c r="E74" i="18" s="1"/>
  <c r="S73" i="18"/>
  <c r="R73" i="18"/>
  <c r="C72" i="18" s="1"/>
  <c r="C74" i="18" s="1"/>
  <c r="Q73" i="18"/>
  <c r="B72" i="18" s="1"/>
  <c r="AC72" i="18"/>
  <c r="D72" i="18"/>
  <c r="D74" i="18" s="1"/>
  <c r="AC71" i="18"/>
  <c r="N71" i="18"/>
  <c r="I27" i="17" s="1"/>
  <c r="M65" i="18"/>
  <c r="L65" i="18"/>
  <c r="K65" i="18"/>
  <c r="J65" i="18"/>
  <c r="I65" i="18"/>
  <c r="H65" i="18"/>
  <c r="G65" i="18"/>
  <c r="F65" i="18"/>
  <c r="E65" i="18"/>
  <c r="D65" i="18"/>
  <c r="B65" i="18"/>
  <c r="B66" i="18" s="1"/>
  <c r="B64" i="18"/>
  <c r="N63" i="18"/>
  <c r="N65" i="18" s="1"/>
  <c r="N62" i="18"/>
  <c r="I26" i="17" s="1"/>
  <c r="M57" i="18"/>
  <c r="L57" i="18"/>
  <c r="K57" i="18"/>
  <c r="J57" i="18"/>
  <c r="I57" i="18"/>
  <c r="H57" i="18"/>
  <c r="G57" i="18"/>
  <c r="F57" i="18"/>
  <c r="E57" i="18"/>
  <c r="D57" i="18"/>
  <c r="C57" i="18"/>
  <c r="B57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N55" i="18"/>
  <c r="N57" i="18" s="1"/>
  <c r="N54" i="18"/>
  <c r="I25" i="17" s="1"/>
  <c r="J21" i="17"/>
  <c r="AB40" i="18"/>
  <c r="M39" i="18" s="1"/>
  <c r="M40" i="18" s="1"/>
  <c r="AA40" i="18"/>
  <c r="Z40" i="18"/>
  <c r="K39" i="18" s="1"/>
  <c r="K40" i="18" s="1"/>
  <c r="Y40" i="18"/>
  <c r="J39" i="18" s="1"/>
  <c r="J40" i="18" s="1"/>
  <c r="X40" i="18"/>
  <c r="I39" i="18" s="1"/>
  <c r="I40" i="18" s="1"/>
  <c r="W40" i="18"/>
  <c r="H39" i="18" s="1"/>
  <c r="H40" i="18" s="1"/>
  <c r="V40" i="18"/>
  <c r="G39" i="18" s="1"/>
  <c r="G40" i="18" s="1"/>
  <c r="U40" i="18"/>
  <c r="F39" i="18" s="1"/>
  <c r="F40" i="18" s="1"/>
  <c r="T40" i="18"/>
  <c r="E39" i="18" s="1"/>
  <c r="E40" i="18" s="1"/>
  <c r="S40" i="18"/>
  <c r="D39" i="18" s="1"/>
  <c r="D40" i="18" s="1"/>
  <c r="R40" i="18"/>
  <c r="C39" i="18" s="1"/>
  <c r="C40" i="18" s="1"/>
  <c r="AC39" i="18"/>
  <c r="L39" i="18"/>
  <c r="L40" i="18" s="1"/>
  <c r="AC38" i="18"/>
  <c r="AB32" i="18"/>
  <c r="M31" i="18" s="1"/>
  <c r="M32" i="18" s="1"/>
  <c r="AA32" i="18"/>
  <c r="Z32" i="18"/>
  <c r="K31" i="18" s="1"/>
  <c r="K32" i="18" s="1"/>
  <c r="Y32" i="18"/>
  <c r="J31" i="18" s="1"/>
  <c r="J32" i="18" s="1"/>
  <c r="X32" i="18"/>
  <c r="I31" i="18" s="1"/>
  <c r="I32" i="18" s="1"/>
  <c r="W32" i="18"/>
  <c r="H31" i="18" s="1"/>
  <c r="H32" i="18" s="1"/>
  <c r="V32" i="18"/>
  <c r="G31" i="18" s="1"/>
  <c r="G32" i="18" s="1"/>
  <c r="U32" i="18"/>
  <c r="F31" i="18" s="1"/>
  <c r="F32" i="18" s="1"/>
  <c r="T32" i="18"/>
  <c r="E31" i="18" s="1"/>
  <c r="E32" i="18" s="1"/>
  <c r="S32" i="18"/>
  <c r="D31" i="18" s="1"/>
  <c r="D32" i="18" s="1"/>
  <c r="R32" i="18"/>
  <c r="C31" i="18" s="1"/>
  <c r="C32" i="18" s="1"/>
  <c r="B31" i="18"/>
  <c r="B32" i="18" s="1"/>
  <c r="AC31" i="18"/>
  <c r="L31" i="18"/>
  <c r="L32" i="18" s="1"/>
  <c r="AC30" i="18"/>
  <c r="N30" i="18"/>
  <c r="H6" i="18"/>
  <c r="G6" i="18"/>
  <c r="F6" i="18"/>
  <c r="C6" i="18"/>
  <c r="D77" i="17"/>
  <c r="K77" i="17" s="1"/>
  <c r="C77" i="17"/>
  <c r="I77" i="17" s="1"/>
  <c r="B77" i="17"/>
  <c r="F77" i="17" s="1"/>
  <c r="M70" i="17"/>
  <c r="C62" i="17"/>
  <c r="L57" i="17"/>
  <c r="M57" i="17" s="1"/>
  <c r="L56" i="17"/>
  <c r="M56" i="17" s="1"/>
  <c r="L55" i="17"/>
  <c r="M55" i="17" s="1"/>
  <c r="H48" i="17"/>
  <c r="L47" i="17"/>
  <c r="M47" i="17" s="1"/>
  <c r="K47" i="17"/>
  <c r="L45" i="17"/>
  <c r="M45" i="17" s="1"/>
  <c r="K45" i="17"/>
  <c r="M44" i="17"/>
  <c r="L44" i="17"/>
  <c r="K44" i="17"/>
  <c r="L43" i="17"/>
  <c r="M43" i="17" s="1"/>
  <c r="K43" i="17"/>
  <c r="M40" i="17"/>
  <c r="L40" i="17"/>
  <c r="K40" i="17"/>
  <c r="H39" i="17"/>
  <c r="L38" i="17"/>
  <c r="M38" i="17" s="1"/>
  <c r="K38" i="17"/>
  <c r="L37" i="17"/>
  <c r="M37" i="17" s="1"/>
  <c r="K37" i="17"/>
  <c r="L36" i="17"/>
  <c r="M36" i="17" s="1"/>
  <c r="K36" i="17"/>
  <c r="L35" i="17"/>
  <c r="M35" i="17" s="1"/>
  <c r="K35" i="17"/>
  <c r="L34" i="17"/>
  <c r="M34" i="17" s="1"/>
  <c r="K34" i="17"/>
  <c r="L33" i="17"/>
  <c r="M33" i="17" s="1"/>
  <c r="K33" i="17"/>
  <c r="H32" i="17"/>
  <c r="L31" i="17"/>
  <c r="M31" i="17" s="1"/>
  <c r="K31" i="17"/>
  <c r="L29" i="17"/>
  <c r="M29" i="17" s="1"/>
  <c r="K29" i="17"/>
  <c r="M28" i="17"/>
  <c r="L28" i="17"/>
  <c r="K28" i="17"/>
  <c r="L24" i="17"/>
  <c r="M24" i="17" s="1"/>
  <c r="K24" i="17"/>
  <c r="M23" i="17"/>
  <c r="L23" i="17"/>
  <c r="K23" i="17"/>
  <c r="H22" i="17"/>
  <c r="I8" i="17"/>
  <c r="B67" i="10"/>
  <c r="B68" i="10"/>
  <c r="F68" i="10" s="1"/>
  <c r="AC119" i="14"/>
  <c r="AC120" i="14"/>
  <c r="AC121" i="14"/>
  <c r="AC118" i="14"/>
  <c r="R122" i="14"/>
  <c r="S122" i="14"/>
  <c r="T122" i="14"/>
  <c r="E119" i="14" s="1"/>
  <c r="E121" i="14" s="1"/>
  <c r="U122" i="14"/>
  <c r="V122" i="14"/>
  <c r="G119" i="14" s="1"/>
  <c r="G121" i="14" s="1"/>
  <c r="W122" i="14"/>
  <c r="H119" i="14" s="1"/>
  <c r="H121" i="14" s="1"/>
  <c r="X122" i="14"/>
  <c r="I119" i="14" s="1"/>
  <c r="I121" i="14" s="1"/>
  <c r="Y122" i="14"/>
  <c r="J119" i="14" s="1"/>
  <c r="J121" i="14" s="1"/>
  <c r="Z122" i="14"/>
  <c r="K119" i="14" s="1"/>
  <c r="K121" i="14" s="1"/>
  <c r="AA122" i="14"/>
  <c r="AB122" i="14"/>
  <c r="M119" i="14" s="1"/>
  <c r="M121" i="14" s="1"/>
  <c r="Q122" i="14"/>
  <c r="AC110" i="14"/>
  <c r="AC111" i="14"/>
  <c r="AC112" i="14"/>
  <c r="AC109" i="14"/>
  <c r="R113" i="14"/>
  <c r="S113" i="14"/>
  <c r="D110" i="14" s="1"/>
  <c r="D112" i="14" s="1"/>
  <c r="T113" i="14"/>
  <c r="U113" i="14"/>
  <c r="F110" i="14" s="1"/>
  <c r="F112" i="14" s="1"/>
  <c r="V113" i="14"/>
  <c r="W113" i="14"/>
  <c r="X113" i="14"/>
  <c r="Y113" i="14"/>
  <c r="J110" i="14" s="1"/>
  <c r="J112" i="14" s="1"/>
  <c r="Z113" i="14"/>
  <c r="AA113" i="14"/>
  <c r="L110" i="14" s="1"/>
  <c r="L112" i="14" s="1"/>
  <c r="AB113" i="14"/>
  <c r="M110" i="14" s="1"/>
  <c r="M112" i="14" s="1"/>
  <c r="AC113" i="14"/>
  <c r="Q113" i="14"/>
  <c r="B110" i="14" s="1"/>
  <c r="AC81" i="14"/>
  <c r="AC84" i="14" s="1"/>
  <c r="AC82" i="14"/>
  <c r="AC83" i="14"/>
  <c r="AC80" i="14"/>
  <c r="R84" i="14"/>
  <c r="C81" i="14" s="1"/>
  <c r="C83" i="14" s="1"/>
  <c r="S84" i="14"/>
  <c r="D81" i="14" s="1"/>
  <c r="D83" i="14" s="1"/>
  <c r="T84" i="14"/>
  <c r="U84" i="14"/>
  <c r="F81" i="14" s="1"/>
  <c r="V84" i="14"/>
  <c r="G81" i="14" s="1"/>
  <c r="G83" i="14" s="1"/>
  <c r="W84" i="14"/>
  <c r="H81" i="14" s="1"/>
  <c r="H83" i="14" s="1"/>
  <c r="X84" i="14"/>
  <c r="Y84" i="14"/>
  <c r="J81" i="14" s="1"/>
  <c r="Z84" i="14"/>
  <c r="K81" i="14" s="1"/>
  <c r="K83" i="14" s="1"/>
  <c r="AA84" i="14"/>
  <c r="L81" i="14" s="1"/>
  <c r="L83" i="14" s="1"/>
  <c r="AB84" i="14"/>
  <c r="Q84" i="14"/>
  <c r="B81" i="14" s="1"/>
  <c r="C82" i="14" s="1"/>
  <c r="AC40" i="14"/>
  <c r="AC41" i="14"/>
  <c r="AC42" i="14"/>
  <c r="AC39" i="14"/>
  <c r="R43" i="14"/>
  <c r="S43" i="14"/>
  <c r="D40" i="14" s="1"/>
  <c r="S30" i="2" s="1"/>
  <c r="T43" i="14"/>
  <c r="E40" i="14" s="1"/>
  <c r="U43" i="14"/>
  <c r="F40" i="14" s="1"/>
  <c r="U30" i="2" s="1"/>
  <c r="V43" i="14"/>
  <c r="G40" i="14" s="1"/>
  <c r="G41" i="14" s="1"/>
  <c r="W43" i="14"/>
  <c r="X43" i="14"/>
  <c r="I40" i="14" s="1"/>
  <c r="X30" i="2" s="1"/>
  <c r="Y43" i="14"/>
  <c r="Z43" i="14"/>
  <c r="AA43" i="14"/>
  <c r="AB43" i="14"/>
  <c r="M40" i="14" s="1"/>
  <c r="AB30" i="2" s="1"/>
  <c r="Q43" i="14"/>
  <c r="B40" i="14" s="1"/>
  <c r="Q30" i="2" s="1"/>
  <c r="K110" i="14"/>
  <c r="K112" i="14" s="1"/>
  <c r="H110" i="14"/>
  <c r="H112" i="14" s="1"/>
  <c r="G110" i="14"/>
  <c r="G112" i="14" s="1"/>
  <c r="C110" i="14"/>
  <c r="C112" i="14" s="1"/>
  <c r="AB105" i="14"/>
  <c r="M102" i="14" s="1"/>
  <c r="M103" i="14" s="1"/>
  <c r="AA105" i="14"/>
  <c r="Z105" i="14"/>
  <c r="Y105" i="14"/>
  <c r="J102" i="14" s="1"/>
  <c r="J103" i="14" s="1"/>
  <c r="X105" i="14"/>
  <c r="I102" i="14" s="1"/>
  <c r="I103" i="14" s="1"/>
  <c r="W105" i="14"/>
  <c r="V105" i="14"/>
  <c r="U105" i="14"/>
  <c r="F102" i="14" s="1"/>
  <c r="F103" i="14" s="1"/>
  <c r="T105" i="14"/>
  <c r="E102" i="14" s="1"/>
  <c r="E103" i="14" s="1"/>
  <c r="S105" i="14"/>
  <c r="D102" i="14" s="1"/>
  <c r="D103" i="14" s="1"/>
  <c r="R105" i="14"/>
  <c r="Q105" i="14"/>
  <c r="B102" i="14" s="1"/>
  <c r="AC104" i="14"/>
  <c r="AC103" i="14"/>
  <c r="AC102" i="14"/>
  <c r="AC101" i="14"/>
  <c r="AB51" i="14"/>
  <c r="M48" i="14" s="1"/>
  <c r="AA51" i="14"/>
  <c r="L48" i="14" s="1"/>
  <c r="L49" i="14" s="1"/>
  <c r="Z51" i="14"/>
  <c r="K48" i="14" s="1"/>
  <c r="K49" i="14" s="1"/>
  <c r="Y51" i="14"/>
  <c r="J48" i="14" s="1"/>
  <c r="J49" i="14" s="1"/>
  <c r="X51" i="14"/>
  <c r="I48" i="14" s="1"/>
  <c r="W51" i="14"/>
  <c r="H48" i="14" s="1"/>
  <c r="H49" i="14" s="1"/>
  <c r="V51" i="14"/>
  <c r="G48" i="14" s="1"/>
  <c r="G49" i="14" s="1"/>
  <c r="U51" i="14"/>
  <c r="F48" i="14" s="1"/>
  <c r="F49" i="14" s="1"/>
  <c r="T51" i="14"/>
  <c r="E48" i="14" s="1"/>
  <c r="S51" i="14"/>
  <c r="D48" i="14" s="1"/>
  <c r="D49" i="14" s="1"/>
  <c r="R51" i="14"/>
  <c r="C48" i="14" s="1"/>
  <c r="C49" i="14" s="1"/>
  <c r="Q51" i="14"/>
  <c r="B48" i="14" s="1"/>
  <c r="Q39" i="2" s="1"/>
  <c r="AC50" i="14"/>
  <c r="AC49" i="14"/>
  <c r="AC48" i="14"/>
  <c r="AC47" i="14"/>
  <c r="I21" i="13"/>
  <c r="N88" i="2"/>
  <c r="J48" i="7" s="1"/>
  <c r="N79" i="2"/>
  <c r="J44" i="7" s="1"/>
  <c r="N71" i="2"/>
  <c r="J43" i="7" s="1"/>
  <c r="M122" i="14"/>
  <c r="L122" i="14"/>
  <c r="K122" i="14"/>
  <c r="J122" i="14"/>
  <c r="I122" i="14"/>
  <c r="H122" i="14"/>
  <c r="G122" i="14"/>
  <c r="F122" i="14"/>
  <c r="E122" i="14"/>
  <c r="D122" i="14"/>
  <c r="C122" i="14"/>
  <c r="N118" i="14"/>
  <c r="I47" i="13" s="1"/>
  <c r="E110" i="14"/>
  <c r="E112" i="14" s="1"/>
  <c r="M113" i="14"/>
  <c r="L113" i="14"/>
  <c r="K113" i="14"/>
  <c r="J113" i="14"/>
  <c r="I113" i="14"/>
  <c r="H113" i="14"/>
  <c r="G113" i="14"/>
  <c r="F113" i="14"/>
  <c r="E113" i="14"/>
  <c r="D113" i="14"/>
  <c r="C113" i="14"/>
  <c r="I110" i="14"/>
  <c r="I112" i="14" s="1"/>
  <c r="N109" i="14"/>
  <c r="I43" i="13" s="1"/>
  <c r="M104" i="14"/>
  <c r="L104" i="14"/>
  <c r="K104" i="14"/>
  <c r="J104" i="14"/>
  <c r="I104" i="14"/>
  <c r="H104" i="14"/>
  <c r="G104" i="14"/>
  <c r="F104" i="14"/>
  <c r="E104" i="14"/>
  <c r="D104" i="14"/>
  <c r="C104" i="14"/>
  <c r="N101" i="14"/>
  <c r="I42" i="13" s="1"/>
  <c r="M93" i="14"/>
  <c r="M94" i="14" s="1"/>
  <c r="L93" i="14"/>
  <c r="L94" i="14" s="1"/>
  <c r="K93" i="14"/>
  <c r="K94" i="14" s="1"/>
  <c r="J93" i="14"/>
  <c r="J94" i="14" s="1"/>
  <c r="I93" i="14"/>
  <c r="I94" i="14" s="1"/>
  <c r="H93" i="14"/>
  <c r="H94" i="14" s="1"/>
  <c r="G93" i="14"/>
  <c r="G94" i="14" s="1"/>
  <c r="F93" i="14"/>
  <c r="F94" i="14" s="1"/>
  <c r="E93" i="14"/>
  <c r="E94" i="14" s="1"/>
  <c r="D93" i="14"/>
  <c r="D94" i="14" s="1"/>
  <c r="C93" i="14"/>
  <c r="C94" i="14" s="1"/>
  <c r="B93" i="14"/>
  <c r="B94" i="14" s="1"/>
  <c r="N92" i="14"/>
  <c r="I31" i="13" s="1"/>
  <c r="N91" i="14"/>
  <c r="M90" i="14"/>
  <c r="L90" i="14"/>
  <c r="K90" i="14"/>
  <c r="J90" i="14"/>
  <c r="I90" i="14"/>
  <c r="H90" i="14"/>
  <c r="G90" i="14"/>
  <c r="F90" i="14"/>
  <c r="E90" i="14"/>
  <c r="D90" i="14"/>
  <c r="C90" i="14"/>
  <c r="B90" i="14"/>
  <c r="N89" i="14"/>
  <c r="M84" i="14"/>
  <c r="L84" i="14"/>
  <c r="K84" i="14"/>
  <c r="J84" i="14"/>
  <c r="I84" i="14"/>
  <c r="H84" i="14"/>
  <c r="G84" i="14"/>
  <c r="F84" i="14"/>
  <c r="E84" i="14"/>
  <c r="D84" i="14"/>
  <c r="C84" i="14"/>
  <c r="N80" i="14"/>
  <c r="I28" i="13" s="1"/>
  <c r="M75" i="14"/>
  <c r="L75" i="14"/>
  <c r="K75" i="14"/>
  <c r="J75" i="14"/>
  <c r="I75" i="14"/>
  <c r="H75" i="14"/>
  <c r="G75" i="14"/>
  <c r="F75" i="14"/>
  <c r="E75" i="14"/>
  <c r="D75" i="14"/>
  <c r="C75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B75" i="14" s="1"/>
  <c r="B73" i="14"/>
  <c r="N72" i="14"/>
  <c r="N74" i="14" s="1"/>
  <c r="N71" i="14"/>
  <c r="I27" i="13" s="1"/>
  <c r="N39" i="14"/>
  <c r="I20" i="13" s="1"/>
  <c r="N30" i="2"/>
  <c r="L21" i="18"/>
  <c r="K12" i="12"/>
  <c r="J21" i="18"/>
  <c r="G12" i="12"/>
  <c r="F21" i="18"/>
  <c r="D30" i="14"/>
  <c r="C12" i="12"/>
  <c r="B21" i="18"/>
  <c r="M12" i="18"/>
  <c r="C3" i="12"/>
  <c r="C6" i="12" s="1"/>
  <c r="D3" i="12"/>
  <c r="F12" i="18"/>
  <c r="G3" i="12"/>
  <c r="H3" i="12"/>
  <c r="J12" i="18"/>
  <c r="K3" i="12"/>
  <c r="L12" i="18"/>
  <c r="C12" i="14"/>
  <c r="C15" i="14" s="1"/>
  <c r="D12" i="14"/>
  <c r="D15" i="14" s="1"/>
  <c r="E12" i="14"/>
  <c r="E15" i="14" s="1"/>
  <c r="F12" i="14"/>
  <c r="F15" i="14" s="1"/>
  <c r="G12" i="14"/>
  <c r="G15" i="14" s="1"/>
  <c r="H12" i="14"/>
  <c r="I12" i="14"/>
  <c r="J12" i="14"/>
  <c r="K12" i="14"/>
  <c r="L12" i="14"/>
  <c r="M12" i="14"/>
  <c r="M15" i="14" s="1"/>
  <c r="B12" i="14"/>
  <c r="E6" i="14"/>
  <c r="G6" i="14"/>
  <c r="H6" i="14"/>
  <c r="M6" i="14"/>
  <c r="H15" i="14"/>
  <c r="L13" i="14"/>
  <c r="K13" i="14"/>
  <c r="J13" i="14"/>
  <c r="I13" i="14"/>
  <c r="B13" i="14"/>
  <c r="B14" i="14" s="1"/>
  <c r="L36" i="13"/>
  <c r="M36" i="13" s="1"/>
  <c r="K36" i="13"/>
  <c r="K30" i="13"/>
  <c r="L30" i="13"/>
  <c r="M30" i="13" s="1"/>
  <c r="K32" i="13"/>
  <c r="L32" i="13"/>
  <c r="M32" i="13" s="1"/>
  <c r="K29" i="13"/>
  <c r="L29" i="13"/>
  <c r="M29" i="13" s="1"/>
  <c r="M66" i="14"/>
  <c r="L66" i="14"/>
  <c r="K66" i="14"/>
  <c r="J66" i="14"/>
  <c r="I66" i="14"/>
  <c r="H66" i="14"/>
  <c r="G66" i="14"/>
  <c r="F66" i="14"/>
  <c r="E66" i="14"/>
  <c r="D66" i="14"/>
  <c r="C66" i="14"/>
  <c r="B66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N64" i="14"/>
  <c r="N66" i="14" s="1"/>
  <c r="N63" i="14"/>
  <c r="I26" i="13" s="1"/>
  <c r="B57" i="14"/>
  <c r="J22" i="13"/>
  <c r="B49" i="14"/>
  <c r="D6" i="14"/>
  <c r="L4" i="14"/>
  <c r="L6" i="14" s="1"/>
  <c r="K4" i="14"/>
  <c r="J4" i="14"/>
  <c r="I4" i="14"/>
  <c r="I6" i="14" s="1"/>
  <c r="B4" i="14"/>
  <c r="D78" i="13"/>
  <c r="K78" i="13" s="1"/>
  <c r="C78" i="13"/>
  <c r="I78" i="13" s="1"/>
  <c r="B78" i="13"/>
  <c r="F78" i="13" s="1"/>
  <c r="M71" i="13"/>
  <c r="C63" i="13"/>
  <c r="L58" i="13"/>
  <c r="M58" i="13" s="1"/>
  <c r="L57" i="13"/>
  <c r="M57" i="13" s="1"/>
  <c r="L56" i="13"/>
  <c r="M56" i="13" s="1"/>
  <c r="H49" i="13"/>
  <c r="L48" i="13"/>
  <c r="M48" i="13" s="1"/>
  <c r="K48" i="13"/>
  <c r="L46" i="13"/>
  <c r="M46" i="13" s="1"/>
  <c r="K46" i="13"/>
  <c r="L45" i="13"/>
  <c r="M45" i="13" s="1"/>
  <c r="K45" i="13"/>
  <c r="L44" i="13"/>
  <c r="M44" i="13" s="1"/>
  <c r="K44" i="13"/>
  <c r="L41" i="13"/>
  <c r="M41" i="13" s="1"/>
  <c r="K41" i="13"/>
  <c r="H40" i="13"/>
  <c r="L39" i="13"/>
  <c r="M39" i="13" s="1"/>
  <c r="K39" i="13"/>
  <c r="L38" i="13"/>
  <c r="M38" i="13" s="1"/>
  <c r="K38" i="13"/>
  <c r="L37" i="13"/>
  <c r="M37" i="13" s="1"/>
  <c r="K37" i="13"/>
  <c r="L35" i="13"/>
  <c r="M35" i="13" s="1"/>
  <c r="K35" i="13"/>
  <c r="L34" i="13"/>
  <c r="M34" i="13" s="1"/>
  <c r="K34" i="13"/>
  <c r="H33" i="13"/>
  <c r="L24" i="13"/>
  <c r="M24" i="13" s="1"/>
  <c r="K24" i="13"/>
  <c r="H23" i="13"/>
  <c r="I8" i="13"/>
  <c r="AB108" i="12"/>
  <c r="M104" i="12" s="1"/>
  <c r="M106" i="12" s="1"/>
  <c r="AA108" i="12"/>
  <c r="L104" i="12" s="1"/>
  <c r="L106" i="12" s="1"/>
  <c r="Z108" i="12"/>
  <c r="K104" i="12" s="1"/>
  <c r="K106" i="12" s="1"/>
  <c r="Y108" i="12"/>
  <c r="J104" i="12" s="1"/>
  <c r="J106" i="12" s="1"/>
  <c r="X108" i="12"/>
  <c r="I104" i="12" s="1"/>
  <c r="I106" i="12" s="1"/>
  <c r="W108" i="12"/>
  <c r="H104" i="12" s="1"/>
  <c r="H106" i="12" s="1"/>
  <c r="V108" i="12"/>
  <c r="G104" i="12" s="1"/>
  <c r="G106" i="12" s="1"/>
  <c r="U108" i="12"/>
  <c r="F104" i="12" s="1"/>
  <c r="F106" i="12" s="1"/>
  <c r="T108" i="12"/>
  <c r="E104" i="12" s="1"/>
  <c r="E106" i="12" s="1"/>
  <c r="S108" i="12"/>
  <c r="D104" i="12" s="1"/>
  <c r="D106" i="12" s="1"/>
  <c r="R108" i="12"/>
  <c r="C104" i="12" s="1"/>
  <c r="C106" i="12" s="1"/>
  <c r="Q108" i="12"/>
  <c r="B104" i="12" s="1"/>
  <c r="Q91" i="2" s="1"/>
  <c r="R99" i="12"/>
  <c r="S99" i="12"/>
  <c r="T99" i="12"/>
  <c r="U99" i="12"/>
  <c r="F95" i="12" s="1"/>
  <c r="F97" i="12" s="1"/>
  <c r="V99" i="12"/>
  <c r="G95" i="12" s="1"/>
  <c r="W99" i="12"/>
  <c r="H95" i="12" s="1"/>
  <c r="H97" i="12" s="1"/>
  <c r="X99" i="12"/>
  <c r="I95" i="12" s="1"/>
  <c r="I97" i="12" s="1"/>
  <c r="Y99" i="12"/>
  <c r="J95" i="12" s="1"/>
  <c r="J97" i="12" s="1"/>
  <c r="Z99" i="12"/>
  <c r="K95" i="12" s="1"/>
  <c r="K97" i="12" s="1"/>
  <c r="AA99" i="12"/>
  <c r="L95" i="12" s="1"/>
  <c r="L97" i="12" s="1"/>
  <c r="AB99" i="12"/>
  <c r="M95" i="12" s="1"/>
  <c r="M97" i="12" s="1"/>
  <c r="Q99" i="12"/>
  <c r="B95" i="12" s="1"/>
  <c r="Q82" i="2" s="1"/>
  <c r="C95" i="12"/>
  <c r="R82" i="2" s="1"/>
  <c r="D95" i="12"/>
  <c r="S82" i="2" s="1"/>
  <c r="E95" i="12"/>
  <c r="E97" i="12" s="1"/>
  <c r="AC107" i="12"/>
  <c r="AC105" i="12"/>
  <c r="AC104" i="12"/>
  <c r="AC103" i="12"/>
  <c r="AC98" i="12"/>
  <c r="AC96" i="12"/>
  <c r="AC95" i="12"/>
  <c r="AC94" i="12"/>
  <c r="AB91" i="12"/>
  <c r="M87" i="12" s="1"/>
  <c r="M88" i="12" s="1"/>
  <c r="AA91" i="12"/>
  <c r="L87" i="12" s="1"/>
  <c r="L88" i="12" s="1"/>
  <c r="Z91" i="12"/>
  <c r="K87" i="12" s="1"/>
  <c r="K88" i="12" s="1"/>
  <c r="Y91" i="12"/>
  <c r="J87" i="12" s="1"/>
  <c r="J88" i="12" s="1"/>
  <c r="X91" i="12"/>
  <c r="I87" i="12" s="1"/>
  <c r="I88" i="12" s="1"/>
  <c r="W91" i="12"/>
  <c r="H87" i="12" s="1"/>
  <c r="H88" i="12" s="1"/>
  <c r="V91" i="12"/>
  <c r="G87" i="12" s="1"/>
  <c r="G88" i="12" s="1"/>
  <c r="U91" i="12"/>
  <c r="F87" i="12" s="1"/>
  <c r="U74" i="2" s="1"/>
  <c r="T91" i="12"/>
  <c r="E87" i="12" s="1"/>
  <c r="E88" i="12" s="1"/>
  <c r="S91" i="12"/>
  <c r="D87" i="12" s="1"/>
  <c r="D88" i="12" s="1"/>
  <c r="R91" i="12"/>
  <c r="C87" i="12" s="1"/>
  <c r="C88" i="12" s="1"/>
  <c r="Q91" i="12"/>
  <c r="B87" i="12" s="1"/>
  <c r="Q74" i="2" s="1"/>
  <c r="AC90" i="12"/>
  <c r="AC88" i="12"/>
  <c r="AC87" i="12"/>
  <c r="AC86" i="12"/>
  <c r="AB52" i="12"/>
  <c r="M48" i="12" s="1"/>
  <c r="M50" i="12" s="1"/>
  <c r="AA52" i="12"/>
  <c r="L48" i="12" s="1"/>
  <c r="L50" i="12" s="1"/>
  <c r="Z52" i="12"/>
  <c r="K48" i="12" s="1"/>
  <c r="K50" i="12" s="1"/>
  <c r="Y52" i="12"/>
  <c r="J48" i="12" s="1"/>
  <c r="J50" i="12" s="1"/>
  <c r="X52" i="12"/>
  <c r="I48" i="12" s="1"/>
  <c r="I50" i="12" s="1"/>
  <c r="W52" i="12"/>
  <c r="H48" i="12" s="1"/>
  <c r="H50" i="12" s="1"/>
  <c r="V52" i="12"/>
  <c r="G48" i="12" s="1"/>
  <c r="G50" i="12" s="1"/>
  <c r="U52" i="12"/>
  <c r="F48" i="12" s="1"/>
  <c r="T52" i="12"/>
  <c r="E48" i="12" s="1"/>
  <c r="E50" i="12" s="1"/>
  <c r="S52" i="12"/>
  <c r="D48" i="12" s="1"/>
  <c r="D50" i="12" s="1"/>
  <c r="R52" i="12"/>
  <c r="C48" i="12" s="1"/>
  <c r="C50" i="12" s="1"/>
  <c r="Q52" i="12"/>
  <c r="AC51" i="12"/>
  <c r="AC49" i="12"/>
  <c r="AC48" i="12"/>
  <c r="AC47" i="12"/>
  <c r="AB26" i="12"/>
  <c r="M22" i="12" s="1"/>
  <c r="M23" i="12" s="1"/>
  <c r="AA26" i="12"/>
  <c r="L22" i="12" s="1"/>
  <c r="L23" i="12" s="1"/>
  <c r="Z26" i="12"/>
  <c r="K22" i="12" s="1"/>
  <c r="K23" i="12" s="1"/>
  <c r="Y26" i="12"/>
  <c r="J22" i="12" s="1"/>
  <c r="J23" i="12" s="1"/>
  <c r="X26" i="12"/>
  <c r="I22" i="12" s="1"/>
  <c r="I23" i="12" s="1"/>
  <c r="W26" i="12"/>
  <c r="H22" i="12" s="1"/>
  <c r="H23" i="12" s="1"/>
  <c r="V26" i="12"/>
  <c r="G22" i="12" s="1"/>
  <c r="G23" i="12" s="1"/>
  <c r="U26" i="12"/>
  <c r="F22" i="12" s="1"/>
  <c r="U41" i="2" s="1"/>
  <c r="T26" i="12"/>
  <c r="E22" i="12" s="1"/>
  <c r="E23" i="12" s="1"/>
  <c r="S26" i="12"/>
  <c r="D22" i="12" s="1"/>
  <c r="D23" i="12" s="1"/>
  <c r="R26" i="12"/>
  <c r="C22" i="12" s="1"/>
  <c r="C23" i="12" s="1"/>
  <c r="Q26" i="12"/>
  <c r="B22" i="12" s="1"/>
  <c r="Q41" i="2" s="1"/>
  <c r="AC25" i="12"/>
  <c r="AC23" i="12"/>
  <c r="AC22" i="12"/>
  <c r="AC21" i="12"/>
  <c r="E47" i="8"/>
  <c r="E49" i="8" s="1"/>
  <c r="I47" i="8"/>
  <c r="I49" i="8" s="1"/>
  <c r="M47" i="8"/>
  <c r="M49" i="8" s="1"/>
  <c r="L47" i="8"/>
  <c r="L49" i="8" s="1"/>
  <c r="H47" i="8"/>
  <c r="H49" i="8" s="1"/>
  <c r="G47" i="8"/>
  <c r="G49" i="8" s="1"/>
  <c r="F47" i="8"/>
  <c r="U79" i="2" s="1"/>
  <c r="D47" i="8"/>
  <c r="D49" i="8" s="1"/>
  <c r="AC50" i="8"/>
  <c r="AC49" i="8"/>
  <c r="AC48" i="8"/>
  <c r="AC47" i="8"/>
  <c r="AC46" i="8"/>
  <c r="N46" i="8"/>
  <c r="I32" i="10" s="1"/>
  <c r="AC70" i="8"/>
  <c r="R71" i="8"/>
  <c r="C67" i="8" s="1"/>
  <c r="C68" i="8" s="1"/>
  <c r="S71" i="8"/>
  <c r="D67" i="8" s="1"/>
  <c r="D68" i="8" s="1"/>
  <c r="T71" i="8"/>
  <c r="E67" i="8" s="1"/>
  <c r="E68" i="8" s="1"/>
  <c r="U71" i="8"/>
  <c r="F67" i="8" s="1"/>
  <c r="F68" i="8" s="1"/>
  <c r="V71" i="8"/>
  <c r="G67" i="8" s="1"/>
  <c r="G68" i="8" s="1"/>
  <c r="W71" i="8"/>
  <c r="H67" i="8" s="1"/>
  <c r="H68" i="8" s="1"/>
  <c r="X71" i="8"/>
  <c r="I67" i="8" s="1"/>
  <c r="I68" i="8" s="1"/>
  <c r="Y71" i="8"/>
  <c r="J67" i="8" s="1"/>
  <c r="J68" i="8" s="1"/>
  <c r="Z71" i="8"/>
  <c r="K67" i="8" s="1"/>
  <c r="K68" i="8" s="1"/>
  <c r="AA71" i="8"/>
  <c r="L67" i="8" s="1"/>
  <c r="L68" i="8" s="1"/>
  <c r="AB71" i="8"/>
  <c r="M67" i="8" s="1"/>
  <c r="M68" i="8" s="1"/>
  <c r="Q71" i="8"/>
  <c r="B67" i="8" s="1"/>
  <c r="AC67" i="8"/>
  <c r="AC68" i="8"/>
  <c r="AC69" i="8"/>
  <c r="AC66" i="8"/>
  <c r="N66" i="8"/>
  <c r="I31" i="10" s="1"/>
  <c r="I48" i="11"/>
  <c r="C97" i="12"/>
  <c r="M96" i="12"/>
  <c r="L96" i="12"/>
  <c r="K96" i="12"/>
  <c r="J96" i="12"/>
  <c r="I96" i="12"/>
  <c r="H96" i="12"/>
  <c r="G96" i="12"/>
  <c r="F96" i="12"/>
  <c r="E96" i="12"/>
  <c r="D96" i="12"/>
  <c r="C96" i="12"/>
  <c r="N94" i="12"/>
  <c r="I42" i="11" s="1"/>
  <c r="N86" i="12"/>
  <c r="I41" i="11" s="1"/>
  <c r="N56" i="12"/>
  <c r="C60" i="12"/>
  <c r="C61" i="12" s="1"/>
  <c r="D60" i="12"/>
  <c r="D61" i="12" s="1"/>
  <c r="E60" i="12"/>
  <c r="E61" i="12" s="1"/>
  <c r="F60" i="12"/>
  <c r="F61" i="12" s="1"/>
  <c r="G60" i="12"/>
  <c r="G61" i="12" s="1"/>
  <c r="H60" i="12"/>
  <c r="H61" i="12" s="1"/>
  <c r="I60" i="12"/>
  <c r="I61" i="12" s="1"/>
  <c r="J60" i="12"/>
  <c r="J61" i="12" s="1"/>
  <c r="K60" i="12"/>
  <c r="K61" i="12" s="1"/>
  <c r="L60" i="12"/>
  <c r="L61" i="12" s="1"/>
  <c r="M60" i="12"/>
  <c r="M61" i="12" s="1"/>
  <c r="B60" i="12"/>
  <c r="B61" i="12" s="1"/>
  <c r="M105" i="12"/>
  <c r="L105" i="12"/>
  <c r="K105" i="12"/>
  <c r="J105" i="12"/>
  <c r="I105" i="12"/>
  <c r="H105" i="12"/>
  <c r="G105" i="12"/>
  <c r="F105" i="12"/>
  <c r="E105" i="12"/>
  <c r="D105" i="12"/>
  <c r="C105" i="12"/>
  <c r="N103" i="12"/>
  <c r="I46" i="11" s="1"/>
  <c r="B116" i="12"/>
  <c r="D116" i="12"/>
  <c r="E116" i="12"/>
  <c r="F116" i="12"/>
  <c r="G116" i="12"/>
  <c r="H116" i="12"/>
  <c r="I116" i="12"/>
  <c r="J116" i="12"/>
  <c r="K116" i="12"/>
  <c r="L116" i="12"/>
  <c r="M116" i="12"/>
  <c r="C116" i="12"/>
  <c r="C115" i="12"/>
  <c r="D115" i="12"/>
  <c r="E115" i="12"/>
  <c r="F115" i="12"/>
  <c r="G115" i="12"/>
  <c r="H115" i="12"/>
  <c r="I115" i="12"/>
  <c r="J115" i="12"/>
  <c r="K115" i="12"/>
  <c r="L115" i="12"/>
  <c r="M115" i="12"/>
  <c r="B115" i="12"/>
  <c r="N113" i="12"/>
  <c r="N112" i="12"/>
  <c r="E79" i="12"/>
  <c r="D79" i="12"/>
  <c r="C79" i="12"/>
  <c r="B79" i="12"/>
  <c r="F79" i="12"/>
  <c r="G79" i="12"/>
  <c r="H79" i="12"/>
  <c r="I79" i="12"/>
  <c r="J79" i="12"/>
  <c r="K79" i="12"/>
  <c r="L79" i="12"/>
  <c r="M79" i="12"/>
  <c r="D72" i="12"/>
  <c r="E72" i="12"/>
  <c r="F72" i="12"/>
  <c r="G72" i="12"/>
  <c r="H72" i="12"/>
  <c r="I72" i="12"/>
  <c r="J72" i="12"/>
  <c r="K72" i="12"/>
  <c r="L72" i="12"/>
  <c r="M72" i="12"/>
  <c r="C72" i="12"/>
  <c r="N68" i="12"/>
  <c r="N67" i="12"/>
  <c r="C70" i="12"/>
  <c r="D70" i="12"/>
  <c r="D71" i="12" s="1"/>
  <c r="E70" i="12"/>
  <c r="E71" i="12" s="1"/>
  <c r="F70" i="12"/>
  <c r="F71" i="12" s="1"/>
  <c r="G70" i="12"/>
  <c r="G71" i="12" s="1"/>
  <c r="H70" i="12"/>
  <c r="H71" i="12" s="1"/>
  <c r="I70" i="12"/>
  <c r="I71" i="12" s="1"/>
  <c r="J70" i="12"/>
  <c r="J71" i="12" s="1"/>
  <c r="K70" i="12"/>
  <c r="K71" i="12" s="1"/>
  <c r="L70" i="12"/>
  <c r="L71" i="12" s="1"/>
  <c r="M70" i="12"/>
  <c r="M71" i="12" s="1"/>
  <c r="B70" i="12"/>
  <c r="B72" i="12" s="1"/>
  <c r="N69" i="12"/>
  <c r="I27" i="11" s="1"/>
  <c r="N59" i="12"/>
  <c r="C57" i="12"/>
  <c r="D57" i="12"/>
  <c r="E57" i="12"/>
  <c r="F57" i="12"/>
  <c r="G57" i="12"/>
  <c r="H57" i="12"/>
  <c r="I57" i="12"/>
  <c r="J57" i="12"/>
  <c r="K57" i="12"/>
  <c r="L57" i="12"/>
  <c r="M57" i="12"/>
  <c r="B57" i="12"/>
  <c r="M49" i="12"/>
  <c r="L49" i="12"/>
  <c r="K49" i="12"/>
  <c r="J49" i="12"/>
  <c r="I49" i="12"/>
  <c r="H49" i="12"/>
  <c r="G49" i="12"/>
  <c r="F49" i="12"/>
  <c r="E49" i="12"/>
  <c r="D49" i="12"/>
  <c r="C49" i="12"/>
  <c r="N47" i="12"/>
  <c r="I22" i="11" s="1"/>
  <c r="N21" i="12"/>
  <c r="I18" i="11" s="1"/>
  <c r="L45" i="7"/>
  <c r="L39" i="7"/>
  <c r="L37" i="7"/>
  <c r="L32" i="7"/>
  <c r="L25" i="7"/>
  <c r="L26" i="7"/>
  <c r="M43" i="11"/>
  <c r="L43" i="11"/>
  <c r="K43" i="11"/>
  <c r="L37" i="11"/>
  <c r="M37" i="11" s="1"/>
  <c r="K37" i="11"/>
  <c r="L34" i="11"/>
  <c r="M34" i="11" s="1"/>
  <c r="K34" i="11"/>
  <c r="L35" i="11"/>
  <c r="M35" i="11" s="1"/>
  <c r="K35" i="11"/>
  <c r="L29" i="11"/>
  <c r="M29" i="11" s="1"/>
  <c r="K29" i="11"/>
  <c r="L23" i="11"/>
  <c r="M23" i="11" s="1"/>
  <c r="K23" i="11"/>
  <c r="M81" i="12"/>
  <c r="L81" i="12"/>
  <c r="K81" i="12"/>
  <c r="J81" i="12"/>
  <c r="I81" i="12"/>
  <c r="H81" i="12"/>
  <c r="G81" i="12"/>
  <c r="F81" i="12"/>
  <c r="E81" i="12"/>
  <c r="D81" i="12"/>
  <c r="C81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B81" i="12" s="1"/>
  <c r="N78" i="12"/>
  <c r="J28" i="11" s="1"/>
  <c r="N77" i="12"/>
  <c r="I28" i="11" s="1"/>
  <c r="M41" i="12"/>
  <c r="L41" i="12"/>
  <c r="K41" i="12"/>
  <c r="J41" i="12"/>
  <c r="I41" i="12"/>
  <c r="H41" i="12"/>
  <c r="G41" i="12"/>
  <c r="F41" i="12"/>
  <c r="E41" i="12"/>
  <c r="D41" i="12"/>
  <c r="C41" i="12"/>
  <c r="B41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N39" i="12"/>
  <c r="N41" i="12" s="1"/>
  <c r="N38" i="12"/>
  <c r="I21" i="11" s="1"/>
  <c r="M32" i="12"/>
  <c r="L32" i="12"/>
  <c r="K32" i="12"/>
  <c r="J32" i="12"/>
  <c r="I32" i="12"/>
  <c r="H32" i="12"/>
  <c r="G32" i="12"/>
  <c r="F32" i="12"/>
  <c r="E32" i="12"/>
  <c r="D32" i="12"/>
  <c r="C32" i="12"/>
  <c r="B32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N30" i="12"/>
  <c r="N32" i="12" s="1"/>
  <c r="N29" i="12"/>
  <c r="I20" i="11" s="1"/>
  <c r="D78" i="11"/>
  <c r="K78" i="11" s="1"/>
  <c r="C78" i="11"/>
  <c r="I78" i="11" s="1"/>
  <c r="B78" i="11"/>
  <c r="F78" i="11" s="1"/>
  <c r="M71" i="11"/>
  <c r="C63" i="11"/>
  <c r="L58" i="11"/>
  <c r="M58" i="11" s="1"/>
  <c r="L57" i="11"/>
  <c r="M57" i="11" s="1"/>
  <c r="L56" i="11"/>
  <c r="M56" i="11" s="1"/>
  <c r="H49" i="11"/>
  <c r="L47" i="11"/>
  <c r="M47" i="11" s="1"/>
  <c r="K47" i="11"/>
  <c r="L45" i="11"/>
  <c r="M45" i="11" s="1"/>
  <c r="K45" i="11"/>
  <c r="L44" i="11"/>
  <c r="M44" i="11" s="1"/>
  <c r="K44" i="11"/>
  <c r="L40" i="11"/>
  <c r="M40" i="11" s="1"/>
  <c r="K40" i="11"/>
  <c r="H39" i="11"/>
  <c r="L38" i="11"/>
  <c r="M38" i="11" s="1"/>
  <c r="K38" i="11"/>
  <c r="L36" i="11"/>
  <c r="M36" i="11" s="1"/>
  <c r="K36" i="11"/>
  <c r="L33" i="11"/>
  <c r="M33" i="11" s="1"/>
  <c r="K33" i="11"/>
  <c r="L32" i="11"/>
  <c r="M32" i="11" s="1"/>
  <c r="K32" i="11"/>
  <c r="L31" i="11"/>
  <c r="M31" i="11" s="1"/>
  <c r="K31" i="11"/>
  <c r="L30" i="11"/>
  <c r="M30" i="11" s="1"/>
  <c r="K30" i="11"/>
  <c r="H26" i="11"/>
  <c r="L25" i="11"/>
  <c r="M25" i="11" s="1"/>
  <c r="K25" i="11"/>
  <c r="H19" i="11"/>
  <c r="I8" i="11"/>
  <c r="M59" i="8"/>
  <c r="B59" i="8"/>
  <c r="AC38" i="8"/>
  <c r="AC39" i="8"/>
  <c r="AC40" i="8"/>
  <c r="AC41" i="8"/>
  <c r="AC37" i="8"/>
  <c r="B38" i="8"/>
  <c r="R26" i="8"/>
  <c r="C22" i="8" s="1"/>
  <c r="C24" i="8" s="1"/>
  <c r="S26" i="8"/>
  <c r="D22" i="8" s="1"/>
  <c r="S38" i="2" s="1"/>
  <c r="T26" i="8"/>
  <c r="E22" i="8" s="1"/>
  <c r="T38" i="2" s="1"/>
  <c r="U26" i="8"/>
  <c r="F22" i="8" s="1"/>
  <c r="V26" i="8"/>
  <c r="G22" i="8" s="1"/>
  <c r="G24" i="8" s="1"/>
  <c r="W26" i="8"/>
  <c r="H22" i="8" s="1"/>
  <c r="H24" i="8" s="1"/>
  <c r="X26" i="8"/>
  <c r="I22" i="8" s="1"/>
  <c r="Y26" i="8"/>
  <c r="J22" i="8" s="1"/>
  <c r="Z26" i="8"/>
  <c r="K22" i="8" s="1"/>
  <c r="K24" i="8" s="1"/>
  <c r="AA26" i="8"/>
  <c r="L22" i="8" s="1"/>
  <c r="L24" i="8" s="1"/>
  <c r="AB26" i="8"/>
  <c r="M22" i="8" s="1"/>
  <c r="AB38" i="2" s="1"/>
  <c r="Q26" i="8"/>
  <c r="AC22" i="8"/>
  <c r="AC23" i="8"/>
  <c r="AC24" i="8"/>
  <c r="AC25" i="8"/>
  <c r="AC21" i="8"/>
  <c r="N30" i="8"/>
  <c r="J19" i="10" s="1"/>
  <c r="N29" i="8"/>
  <c r="I19" i="10" s="1"/>
  <c r="M31" i="8"/>
  <c r="B31" i="8"/>
  <c r="N21" i="8"/>
  <c r="I18" i="10" s="1"/>
  <c r="I8" i="10"/>
  <c r="L33" i="10"/>
  <c r="M33" i="10" s="1"/>
  <c r="K33" i="10"/>
  <c r="L34" i="10"/>
  <c r="M34" i="10" s="1"/>
  <c r="K34" i="10"/>
  <c r="L26" i="10"/>
  <c r="M26" i="10" s="1"/>
  <c r="K26" i="10"/>
  <c r="L27" i="10"/>
  <c r="M27" i="10" s="1"/>
  <c r="K27" i="10"/>
  <c r="C60" i="8"/>
  <c r="D60" i="8"/>
  <c r="E60" i="8"/>
  <c r="F60" i="8"/>
  <c r="G60" i="8"/>
  <c r="H60" i="8"/>
  <c r="I60" i="8"/>
  <c r="J60" i="8"/>
  <c r="K60" i="8"/>
  <c r="L60" i="8"/>
  <c r="M60" i="8"/>
  <c r="B60" i="8"/>
  <c r="N58" i="8"/>
  <c r="N60" i="8" s="1"/>
  <c r="N57" i="8"/>
  <c r="D68" i="10"/>
  <c r="K68" i="10" s="1"/>
  <c r="I68" i="10"/>
  <c r="M61" i="10"/>
  <c r="C53" i="10"/>
  <c r="L48" i="10"/>
  <c r="M48" i="10" s="1"/>
  <c r="L47" i="10"/>
  <c r="M47" i="10" s="1"/>
  <c r="L46" i="10"/>
  <c r="M46" i="10" s="1"/>
  <c r="H39" i="10"/>
  <c r="L38" i="10"/>
  <c r="M38" i="10" s="1"/>
  <c r="K38" i="10"/>
  <c r="L37" i="10"/>
  <c r="M37" i="10" s="1"/>
  <c r="K37" i="10"/>
  <c r="L36" i="10"/>
  <c r="M36" i="10" s="1"/>
  <c r="K36" i="10"/>
  <c r="L35" i="10"/>
  <c r="M35" i="10" s="1"/>
  <c r="K35" i="10"/>
  <c r="L30" i="10"/>
  <c r="M30" i="10" s="1"/>
  <c r="K30" i="10"/>
  <c r="H29" i="10"/>
  <c r="L28" i="10"/>
  <c r="M28" i="10" s="1"/>
  <c r="K28" i="10"/>
  <c r="L25" i="10"/>
  <c r="M25" i="10" s="1"/>
  <c r="K25" i="10"/>
  <c r="L24" i="10"/>
  <c r="M24" i="10" s="1"/>
  <c r="K24" i="10"/>
  <c r="H23" i="10"/>
  <c r="L21" i="10"/>
  <c r="M21" i="10" s="1"/>
  <c r="K21" i="10"/>
  <c r="H20" i="10"/>
  <c r="L24" i="18" l="1"/>
  <c r="AC72" i="2"/>
  <c r="AC81" i="2"/>
  <c r="AC80" i="2"/>
  <c r="AC73" i="2"/>
  <c r="AC90" i="2"/>
  <c r="AC89" i="2"/>
  <c r="U75" i="2"/>
  <c r="F73" i="2" s="1"/>
  <c r="AC71" i="2"/>
  <c r="AC88" i="2"/>
  <c r="D33" i="14"/>
  <c r="D97" i="12"/>
  <c r="G6" i="12"/>
  <c r="R91" i="2"/>
  <c r="R92" i="2" s="1"/>
  <c r="C89" i="2" s="1"/>
  <c r="C91" i="2" s="1"/>
  <c r="Z74" i="2"/>
  <c r="Z75" i="2" s="1"/>
  <c r="K73" i="2" s="1"/>
  <c r="T41" i="2"/>
  <c r="V74" i="2"/>
  <c r="V75" i="2" s="1"/>
  <c r="G73" i="2" s="1"/>
  <c r="X82" i="2"/>
  <c r="J29" i="7"/>
  <c r="AB41" i="2"/>
  <c r="R74" i="2"/>
  <c r="T82" i="2"/>
  <c r="Z91" i="2"/>
  <c r="Z92" i="2" s="1"/>
  <c r="K89" i="2" s="1"/>
  <c r="K91" i="2" s="1"/>
  <c r="X41" i="2"/>
  <c r="V91" i="2"/>
  <c r="V92" i="2" s="1"/>
  <c r="G89" i="2" s="1"/>
  <c r="G91" i="2" s="1"/>
  <c r="Q75" i="2"/>
  <c r="B73" i="2" s="1"/>
  <c r="B74" i="2" s="1"/>
  <c r="Q92" i="2"/>
  <c r="B89" i="2" s="1"/>
  <c r="E90" i="2" s="1"/>
  <c r="G97" i="12"/>
  <c r="V82" i="2"/>
  <c r="Y41" i="2"/>
  <c r="AA74" i="2"/>
  <c r="AA75" i="2" s="1"/>
  <c r="L73" i="2" s="1"/>
  <c r="W74" i="2"/>
  <c r="W75" i="2" s="1"/>
  <c r="H73" i="2" s="1"/>
  <c r="S74" i="2"/>
  <c r="Y82" i="2"/>
  <c r="U82" i="2"/>
  <c r="U83" i="2" s="1"/>
  <c r="F80" i="2" s="1"/>
  <c r="F82" i="2" s="1"/>
  <c r="AA91" i="2"/>
  <c r="AA92" i="2" s="1"/>
  <c r="L89" i="2" s="1"/>
  <c r="L91" i="2" s="1"/>
  <c r="W91" i="2"/>
  <c r="W92" i="2" s="1"/>
  <c r="H89" i="2" s="1"/>
  <c r="H91" i="2" s="1"/>
  <c r="S91" i="2"/>
  <c r="S92" i="2" s="1"/>
  <c r="D89" i="2" s="1"/>
  <c r="D91" i="2" s="1"/>
  <c r="AB82" i="2"/>
  <c r="W41" i="2"/>
  <c r="S41" i="2"/>
  <c r="AA41" i="2"/>
  <c r="Y74" i="2"/>
  <c r="Y75" i="2" s="1"/>
  <c r="J73" i="2" s="1"/>
  <c r="AA82" i="2"/>
  <c r="W82" i="2"/>
  <c r="Y91" i="2"/>
  <c r="Y92" i="2" s="1"/>
  <c r="J89" i="2" s="1"/>
  <c r="J91" i="2" s="1"/>
  <c r="U91" i="2"/>
  <c r="U92" i="2" s="1"/>
  <c r="F89" i="2" s="1"/>
  <c r="F91" i="2" s="1"/>
  <c r="V41" i="2"/>
  <c r="R41" i="2"/>
  <c r="Z41" i="2"/>
  <c r="AB74" i="2"/>
  <c r="AB75" i="2" s="1"/>
  <c r="M73" i="2" s="1"/>
  <c r="X74" i="2"/>
  <c r="X75" i="2" s="1"/>
  <c r="I73" i="2" s="1"/>
  <c r="T74" i="2"/>
  <c r="T75" i="2" s="1"/>
  <c r="E73" i="2" s="1"/>
  <c r="R75" i="2"/>
  <c r="C73" i="2" s="1"/>
  <c r="Z82" i="2"/>
  <c r="AB91" i="2"/>
  <c r="AB92" i="2" s="1"/>
  <c r="M89" i="2" s="1"/>
  <c r="M91" i="2" s="1"/>
  <c r="X91" i="2"/>
  <c r="X92" i="2" s="1"/>
  <c r="I89" i="2" s="1"/>
  <c r="I91" i="2" s="1"/>
  <c r="T91" i="2"/>
  <c r="T92" i="2" s="1"/>
  <c r="J31" i="7"/>
  <c r="AB31" i="2"/>
  <c r="AB32" i="2" s="1"/>
  <c r="M33" i="2" s="1"/>
  <c r="W31" i="2"/>
  <c r="V31" i="2"/>
  <c r="AA31" i="2"/>
  <c r="Z31" i="2"/>
  <c r="Y31" i="2"/>
  <c r="X31" i="2"/>
  <c r="U31" i="2"/>
  <c r="U32" i="2" s="1"/>
  <c r="F33" i="2" s="1"/>
  <c r="T31" i="2"/>
  <c r="S31" i="2"/>
  <c r="S32" i="2" s="1"/>
  <c r="D33" i="2" s="1"/>
  <c r="R31" i="2"/>
  <c r="Q31" i="2"/>
  <c r="Q32" i="2" s="1"/>
  <c r="B33" i="2" s="1"/>
  <c r="L40" i="14"/>
  <c r="AA30" i="2" s="1"/>
  <c r="K40" i="14"/>
  <c r="Z30" i="2" s="1"/>
  <c r="J40" i="14"/>
  <c r="Y30" i="2" s="1"/>
  <c r="H40" i="14"/>
  <c r="W30" i="2" s="1"/>
  <c r="V30" i="2"/>
  <c r="T30" i="2"/>
  <c r="E41" i="14"/>
  <c r="C40" i="14"/>
  <c r="R30" i="2" s="1"/>
  <c r="J49" i="8"/>
  <c r="Y79" i="2"/>
  <c r="Z79" i="2"/>
  <c r="K49" i="8"/>
  <c r="C49" i="8"/>
  <c r="R79" i="2"/>
  <c r="AB79" i="2"/>
  <c r="X79" i="2"/>
  <c r="T79" i="2"/>
  <c r="R83" i="2"/>
  <c r="C80" i="2" s="1"/>
  <c r="C82" i="2" s="1"/>
  <c r="AA79" i="2"/>
  <c r="W79" i="2"/>
  <c r="V79" i="2"/>
  <c r="V83" i="2" s="1"/>
  <c r="G80" i="2" s="1"/>
  <c r="G82" i="2" s="1"/>
  <c r="S79" i="2"/>
  <c r="D24" i="8"/>
  <c r="AA38" i="2"/>
  <c r="Z38" i="2"/>
  <c r="V38" i="2"/>
  <c r="Y38" i="2"/>
  <c r="X38" i="2"/>
  <c r="W38" i="2"/>
  <c r="U38" i="2"/>
  <c r="R38" i="2"/>
  <c r="M22" i="14"/>
  <c r="M49" i="7"/>
  <c r="N96" i="2"/>
  <c r="B31" i="14"/>
  <c r="E32" i="14" s="1"/>
  <c r="B13" i="12"/>
  <c r="C14" i="12" s="1"/>
  <c r="F13" i="12"/>
  <c r="J13" i="12"/>
  <c r="J31" i="14"/>
  <c r="F31" i="14"/>
  <c r="F4" i="12"/>
  <c r="J4" i="12"/>
  <c r="L3" i="12"/>
  <c r="M15" i="18"/>
  <c r="T47" i="2"/>
  <c r="E46" i="2" s="1"/>
  <c r="E48" i="2" s="1"/>
  <c r="H12" i="18"/>
  <c r="H15" i="18" s="1"/>
  <c r="H21" i="18"/>
  <c r="H24" i="18" s="1"/>
  <c r="F24" i="18"/>
  <c r="J24" i="18"/>
  <c r="C15" i="12"/>
  <c r="G15" i="12"/>
  <c r="K15" i="12"/>
  <c r="H21" i="14"/>
  <c r="H24" i="14" s="1"/>
  <c r="L30" i="14"/>
  <c r="L33" i="14" s="1"/>
  <c r="X32" i="2"/>
  <c r="I33" i="2" s="1"/>
  <c r="D21" i="14"/>
  <c r="D24" i="14" s="1"/>
  <c r="D12" i="18"/>
  <c r="D15" i="18" s="1"/>
  <c r="D12" i="12"/>
  <c r="H30" i="14"/>
  <c r="H33" i="14" s="1"/>
  <c r="D21" i="18"/>
  <c r="D24" i="18" s="1"/>
  <c r="D6" i="12"/>
  <c r="H12" i="12"/>
  <c r="H15" i="12" s="1"/>
  <c r="D23" i="18"/>
  <c r="S47" i="2"/>
  <c r="D46" i="2" s="1"/>
  <c r="D48" i="2" s="1"/>
  <c r="L21" i="14"/>
  <c r="L12" i="12"/>
  <c r="L15" i="12" s="1"/>
  <c r="E21" i="18"/>
  <c r="E30" i="14"/>
  <c r="E33" i="14" s="1"/>
  <c r="E12" i="12"/>
  <c r="E15" i="12" s="1"/>
  <c r="I21" i="18"/>
  <c r="I24" i="18" s="1"/>
  <c r="I30" i="14"/>
  <c r="I33" i="14" s="1"/>
  <c r="I12" i="12"/>
  <c r="I15" i="12" s="1"/>
  <c r="M21" i="18"/>
  <c r="M24" i="18" s="1"/>
  <c r="M30" i="14"/>
  <c r="M33" i="14" s="1"/>
  <c r="M12" i="12"/>
  <c r="M15" i="12" s="1"/>
  <c r="B12" i="18"/>
  <c r="B21" i="14"/>
  <c r="B3" i="12"/>
  <c r="I12" i="18"/>
  <c r="I15" i="18" s="1"/>
  <c r="I21" i="14"/>
  <c r="I24" i="14" s="1"/>
  <c r="I3" i="12"/>
  <c r="I6" i="12" s="1"/>
  <c r="E12" i="18"/>
  <c r="E15" i="18" s="1"/>
  <c r="E21" i="14"/>
  <c r="E24" i="14" s="1"/>
  <c r="E3" i="12"/>
  <c r="E6" i="12" s="1"/>
  <c r="H6" i="12"/>
  <c r="M3" i="12"/>
  <c r="M6" i="12" s="1"/>
  <c r="K21" i="14"/>
  <c r="G21" i="14"/>
  <c r="G24" i="14" s="1"/>
  <c r="C21" i="14"/>
  <c r="C24" i="14" s="1"/>
  <c r="K12" i="18"/>
  <c r="G12" i="18"/>
  <c r="G15" i="18" s="1"/>
  <c r="C12" i="18"/>
  <c r="C15" i="18" s="1"/>
  <c r="K30" i="14"/>
  <c r="K33" i="14" s="1"/>
  <c r="G30" i="14"/>
  <c r="G33" i="14" s="1"/>
  <c r="C30" i="14"/>
  <c r="C33" i="14" s="1"/>
  <c r="K21" i="18"/>
  <c r="K24" i="18" s="1"/>
  <c r="G21" i="18"/>
  <c r="G24" i="18" s="1"/>
  <c r="C21" i="18"/>
  <c r="C24" i="18" s="1"/>
  <c r="F3" i="12"/>
  <c r="J3" i="12"/>
  <c r="J21" i="14"/>
  <c r="J24" i="14" s="1"/>
  <c r="F21" i="14"/>
  <c r="F24" i="14" s="1"/>
  <c r="B12" i="12"/>
  <c r="F12" i="12"/>
  <c r="J12" i="12"/>
  <c r="B30" i="14"/>
  <c r="J30" i="14"/>
  <c r="F30" i="14"/>
  <c r="K23" i="18"/>
  <c r="H23" i="18"/>
  <c r="L23" i="18"/>
  <c r="M21" i="14"/>
  <c r="J15" i="18"/>
  <c r="F15" i="18"/>
  <c r="N22" i="18"/>
  <c r="J18" i="17" s="1"/>
  <c r="E23" i="18"/>
  <c r="I23" i="18"/>
  <c r="M23" i="18"/>
  <c r="F23" i="18"/>
  <c r="J23" i="18"/>
  <c r="C23" i="18"/>
  <c r="G23" i="18"/>
  <c r="V47" i="2"/>
  <c r="G48" i="2" s="1"/>
  <c r="Q47" i="2"/>
  <c r="B46" i="2" s="1"/>
  <c r="B48" i="2" s="1"/>
  <c r="AB47" i="2"/>
  <c r="M48" i="2" s="1"/>
  <c r="X47" i="2"/>
  <c r="I48" i="2" s="1"/>
  <c r="Z40" i="2"/>
  <c r="V40" i="2"/>
  <c r="R40" i="2"/>
  <c r="Y40" i="2"/>
  <c r="U40" i="2"/>
  <c r="U42" i="2" s="1"/>
  <c r="F40" i="2" s="1"/>
  <c r="AB40" i="2"/>
  <c r="X40" i="2"/>
  <c r="T40" i="2"/>
  <c r="Z47" i="2"/>
  <c r="K48" i="2" s="1"/>
  <c r="R47" i="2"/>
  <c r="C46" i="2" s="1"/>
  <c r="C48" i="2" s="1"/>
  <c r="M41" i="14"/>
  <c r="I41" i="14"/>
  <c r="E49" i="14"/>
  <c r="T39" i="2"/>
  <c r="I49" i="14"/>
  <c r="X39" i="2"/>
  <c r="M49" i="14"/>
  <c r="AB39" i="2"/>
  <c r="AA39" i="2"/>
  <c r="W39" i="2"/>
  <c r="S39" i="2"/>
  <c r="AC122" i="14"/>
  <c r="Z39" i="2"/>
  <c r="V39" i="2"/>
  <c r="R39" i="2"/>
  <c r="W47" i="2"/>
  <c r="H48" i="2" s="1"/>
  <c r="AC45" i="2"/>
  <c r="AC47" i="2" s="1"/>
  <c r="U47" i="2"/>
  <c r="F46" i="2" s="1"/>
  <c r="F48" i="2" s="1"/>
  <c r="Y47" i="2"/>
  <c r="J48" i="2" s="1"/>
  <c r="AA47" i="2"/>
  <c r="L48" i="2" s="1"/>
  <c r="D6" i="18"/>
  <c r="J26" i="17"/>
  <c r="J25" i="17"/>
  <c r="L25" i="17" s="1"/>
  <c r="M25" i="17" s="1"/>
  <c r="K6" i="18"/>
  <c r="M102" i="18"/>
  <c r="B6" i="18"/>
  <c r="D73" i="18"/>
  <c r="N81" i="18"/>
  <c r="E5" i="18"/>
  <c r="K58" i="18"/>
  <c r="N84" i="18"/>
  <c r="L6" i="18"/>
  <c r="F5" i="18"/>
  <c r="B86" i="18"/>
  <c r="I6" i="18"/>
  <c r="B5" i="18"/>
  <c r="G5" i="18"/>
  <c r="J58" i="18"/>
  <c r="C58" i="18"/>
  <c r="AC94" i="18"/>
  <c r="B102" i="18"/>
  <c r="K5" i="18"/>
  <c r="C5" i="18"/>
  <c r="G58" i="18"/>
  <c r="J5" i="18"/>
  <c r="J6" i="18"/>
  <c r="I7" i="18"/>
  <c r="E7" i="18"/>
  <c r="M33" i="18"/>
  <c r="I33" i="18"/>
  <c r="E33" i="18"/>
  <c r="L33" i="18"/>
  <c r="H33" i="18"/>
  <c r="D33" i="18"/>
  <c r="K33" i="18"/>
  <c r="G33" i="18"/>
  <c r="C33" i="18"/>
  <c r="F33" i="18"/>
  <c r="J102" i="18"/>
  <c r="N3" i="18"/>
  <c r="I16" i="17" s="1"/>
  <c r="F7" i="18"/>
  <c r="J7" i="18"/>
  <c r="N31" i="18"/>
  <c r="AC31" i="2" s="1"/>
  <c r="J33" i="18"/>
  <c r="AC73" i="18"/>
  <c r="D5" i="18"/>
  <c r="H5" i="18"/>
  <c r="L5" i="18"/>
  <c r="C7" i="18"/>
  <c r="G7" i="18"/>
  <c r="K7" i="18"/>
  <c r="C41" i="18"/>
  <c r="J41" i="18"/>
  <c r="F41" i="18"/>
  <c r="B41" i="18"/>
  <c r="N39" i="18"/>
  <c r="AC40" i="2" s="1"/>
  <c r="M41" i="18"/>
  <c r="I41" i="18"/>
  <c r="E41" i="18"/>
  <c r="L41" i="18"/>
  <c r="H41" i="18"/>
  <c r="D41" i="18"/>
  <c r="B40" i="18"/>
  <c r="AC40" i="18"/>
  <c r="B74" i="18"/>
  <c r="B75" i="18" s="1"/>
  <c r="K73" i="18"/>
  <c r="G73" i="18"/>
  <c r="C73" i="18"/>
  <c r="J73" i="18"/>
  <c r="F73" i="18"/>
  <c r="B73" i="18"/>
  <c r="M73" i="18"/>
  <c r="I73" i="18"/>
  <c r="E73" i="18"/>
  <c r="H73" i="18"/>
  <c r="AC111" i="18"/>
  <c r="F111" i="18"/>
  <c r="M7" i="18"/>
  <c r="K41" i="18"/>
  <c r="B7" i="18"/>
  <c r="N4" i="18"/>
  <c r="J16" i="17" s="1"/>
  <c r="K16" i="17" s="1"/>
  <c r="I5" i="18"/>
  <c r="M5" i="18"/>
  <c r="D7" i="18"/>
  <c r="H7" i="18"/>
  <c r="L7" i="18"/>
  <c r="B25" i="18"/>
  <c r="B24" i="18"/>
  <c r="AC32" i="18"/>
  <c r="B33" i="18"/>
  <c r="G41" i="18"/>
  <c r="N72" i="18"/>
  <c r="L73" i="18"/>
  <c r="N93" i="18"/>
  <c r="AC102" i="18"/>
  <c r="F102" i="18"/>
  <c r="M111" i="18"/>
  <c r="J111" i="18"/>
  <c r="D58" i="18"/>
  <c r="H58" i="18"/>
  <c r="L58" i="18"/>
  <c r="C102" i="18"/>
  <c r="G102" i="18"/>
  <c r="K102" i="18"/>
  <c r="B103" i="18"/>
  <c r="B104" i="18" s="1"/>
  <c r="C111" i="18"/>
  <c r="G111" i="18"/>
  <c r="K111" i="18"/>
  <c r="B112" i="18"/>
  <c r="B113" i="18" s="1"/>
  <c r="E58" i="18"/>
  <c r="I58" i="18"/>
  <c r="M58" i="18"/>
  <c r="N101" i="18"/>
  <c r="D102" i="18"/>
  <c r="H102" i="18"/>
  <c r="L102" i="18"/>
  <c r="N110" i="18"/>
  <c r="D111" i="18"/>
  <c r="H111" i="18"/>
  <c r="L111" i="18"/>
  <c r="B58" i="18"/>
  <c r="F58" i="18"/>
  <c r="E102" i="18"/>
  <c r="I102" i="18"/>
  <c r="E111" i="18"/>
  <c r="I111" i="18"/>
  <c r="L26" i="17"/>
  <c r="M26" i="17" s="1"/>
  <c r="H49" i="17"/>
  <c r="M39" i="17"/>
  <c r="K26" i="17"/>
  <c r="B119" i="14"/>
  <c r="C50" i="14"/>
  <c r="N48" i="14"/>
  <c r="C119" i="14"/>
  <c r="C121" i="14" s="1"/>
  <c r="B47" i="8"/>
  <c r="C102" i="14"/>
  <c r="C103" i="14" s="1"/>
  <c r="G102" i="14"/>
  <c r="G103" i="14" s="1"/>
  <c r="K102" i="14"/>
  <c r="K103" i="14" s="1"/>
  <c r="J83" i="14"/>
  <c r="F83" i="14"/>
  <c r="D82" i="14"/>
  <c r="M81" i="14"/>
  <c r="M83" i="14" s="1"/>
  <c r="E81" i="14"/>
  <c r="F82" i="14" s="1"/>
  <c r="AC43" i="14"/>
  <c r="I81" i="14"/>
  <c r="I83" i="14" s="1"/>
  <c r="L102" i="14"/>
  <c r="L103" i="14" s="1"/>
  <c r="H102" i="14"/>
  <c r="H103" i="14" s="1"/>
  <c r="F119" i="14"/>
  <c r="F121" i="14" s="1"/>
  <c r="L119" i="14"/>
  <c r="L121" i="14" s="1"/>
  <c r="D119" i="14"/>
  <c r="N119" i="14" s="1"/>
  <c r="F111" i="14"/>
  <c r="J111" i="14"/>
  <c r="C111" i="14"/>
  <c r="G111" i="14"/>
  <c r="K111" i="14"/>
  <c r="D111" i="14"/>
  <c r="H111" i="14"/>
  <c r="L111" i="14"/>
  <c r="E111" i="14"/>
  <c r="I111" i="14"/>
  <c r="M111" i="14"/>
  <c r="AC105" i="14"/>
  <c r="J50" i="14"/>
  <c r="AC51" i="14"/>
  <c r="B42" i="14"/>
  <c r="B41" i="14"/>
  <c r="N40" i="14"/>
  <c r="F41" i="14"/>
  <c r="J27" i="13"/>
  <c r="J26" i="13"/>
  <c r="L26" i="13" s="1"/>
  <c r="M26" i="13" s="1"/>
  <c r="B121" i="14"/>
  <c r="B122" i="14" s="1"/>
  <c r="I15" i="14"/>
  <c r="N110" i="14"/>
  <c r="B112" i="14"/>
  <c r="B113" i="14" s="1"/>
  <c r="B111" i="14"/>
  <c r="B103" i="14"/>
  <c r="B104" i="14" s="1"/>
  <c r="N93" i="14"/>
  <c r="N90" i="14"/>
  <c r="B95" i="14"/>
  <c r="M67" i="14"/>
  <c r="K14" i="14"/>
  <c r="K15" i="14"/>
  <c r="F5" i="14"/>
  <c r="D14" i="14"/>
  <c r="J6" i="14"/>
  <c r="B5" i="14"/>
  <c r="L15" i="14"/>
  <c r="K6" i="14"/>
  <c r="J15" i="14"/>
  <c r="H14" i="14"/>
  <c r="G5" i="14"/>
  <c r="N13" i="14"/>
  <c r="J17" i="13" s="1"/>
  <c r="E14" i="14"/>
  <c r="I14" i="14"/>
  <c r="M14" i="14"/>
  <c r="L14" i="14"/>
  <c r="B16" i="14"/>
  <c r="J5" i="14"/>
  <c r="F14" i="14"/>
  <c r="J14" i="14"/>
  <c r="M16" i="14"/>
  <c r="N12" i="14"/>
  <c r="I17" i="13" s="1"/>
  <c r="K5" i="14"/>
  <c r="C5" i="14"/>
  <c r="C14" i="14"/>
  <c r="G14" i="14"/>
  <c r="B15" i="14"/>
  <c r="J7" i="14"/>
  <c r="F16" i="14"/>
  <c r="J16" i="14"/>
  <c r="I7" i="14"/>
  <c r="L7" i="14"/>
  <c r="C16" i="14"/>
  <c r="G16" i="14"/>
  <c r="K16" i="14"/>
  <c r="B7" i="14"/>
  <c r="D16" i="14"/>
  <c r="H16" i="14"/>
  <c r="L16" i="14"/>
  <c r="E7" i="14"/>
  <c r="E16" i="14"/>
  <c r="I16" i="14"/>
  <c r="L27" i="13"/>
  <c r="M27" i="13" s="1"/>
  <c r="K27" i="13"/>
  <c r="H50" i="13"/>
  <c r="L25" i="13"/>
  <c r="M25" i="13" s="1"/>
  <c r="M7" i="14"/>
  <c r="L67" i="14"/>
  <c r="H67" i="14"/>
  <c r="D67" i="14"/>
  <c r="J67" i="14"/>
  <c r="B67" i="14"/>
  <c r="K67" i="14"/>
  <c r="G67" i="14"/>
  <c r="C67" i="14"/>
  <c r="F67" i="14"/>
  <c r="F7" i="14"/>
  <c r="L50" i="14"/>
  <c r="D50" i="14"/>
  <c r="D41" i="14"/>
  <c r="H50" i="14"/>
  <c r="G50" i="14"/>
  <c r="E67" i="14"/>
  <c r="N3" i="14"/>
  <c r="I16" i="13" s="1"/>
  <c r="B6" i="14"/>
  <c r="K50" i="14"/>
  <c r="I67" i="14"/>
  <c r="L5" i="14"/>
  <c r="K7" i="14"/>
  <c r="E50" i="14"/>
  <c r="I50" i="14"/>
  <c r="M50" i="14"/>
  <c r="D5" i="14"/>
  <c r="H5" i="14"/>
  <c r="C7" i="14"/>
  <c r="G7" i="14"/>
  <c r="N4" i="14"/>
  <c r="J16" i="13" s="1"/>
  <c r="E5" i="14"/>
  <c r="I5" i="14"/>
  <c r="M5" i="14"/>
  <c r="D7" i="14"/>
  <c r="H7" i="14"/>
  <c r="B50" i="14"/>
  <c r="F50" i="14"/>
  <c r="K25" i="13"/>
  <c r="AC52" i="12"/>
  <c r="AC91" i="12"/>
  <c r="AC99" i="12"/>
  <c r="C89" i="12"/>
  <c r="L89" i="12"/>
  <c r="H89" i="12"/>
  <c r="B88" i="12"/>
  <c r="B89" i="12" s="1"/>
  <c r="D89" i="12"/>
  <c r="E89" i="12"/>
  <c r="I89" i="12"/>
  <c r="B106" i="12"/>
  <c r="C98" i="12" s="1"/>
  <c r="B105" i="12"/>
  <c r="N104" i="12"/>
  <c r="N106" i="12" s="1"/>
  <c r="AC108" i="12"/>
  <c r="N95" i="12"/>
  <c r="N97" i="12" s="1"/>
  <c r="B97" i="12"/>
  <c r="B98" i="12" s="1"/>
  <c r="B96" i="12"/>
  <c r="K89" i="12"/>
  <c r="G89" i="12"/>
  <c r="N87" i="12"/>
  <c r="J41" i="11" s="1"/>
  <c r="K41" i="11" s="1"/>
  <c r="J89" i="12"/>
  <c r="F89" i="12"/>
  <c r="F88" i="12"/>
  <c r="M89" i="12"/>
  <c r="F50" i="12"/>
  <c r="M24" i="12"/>
  <c r="B23" i="12"/>
  <c r="B24" i="12"/>
  <c r="I24" i="12"/>
  <c r="D24" i="12"/>
  <c r="C24" i="12"/>
  <c r="E24" i="12"/>
  <c r="F24" i="12"/>
  <c r="B48" i="12"/>
  <c r="J42" i="11"/>
  <c r="L42" i="11" s="1"/>
  <c r="M42" i="11" s="1"/>
  <c r="F23" i="12"/>
  <c r="N22" i="12"/>
  <c r="L24" i="12"/>
  <c r="H24" i="12"/>
  <c r="K24" i="12"/>
  <c r="G24" i="12"/>
  <c r="J24" i="12"/>
  <c r="AC26" i="12"/>
  <c r="F49" i="8"/>
  <c r="M48" i="8"/>
  <c r="AC71" i="8"/>
  <c r="B68" i="8"/>
  <c r="N67" i="8"/>
  <c r="AC26" i="8"/>
  <c r="B22" i="8"/>
  <c r="B24" i="8" s="1"/>
  <c r="J21" i="11"/>
  <c r="L21" i="11" s="1"/>
  <c r="M21" i="11" s="1"/>
  <c r="J20" i="11"/>
  <c r="L20" i="11" s="1"/>
  <c r="M20" i="11" s="1"/>
  <c r="N115" i="12"/>
  <c r="K51" i="12"/>
  <c r="B71" i="12"/>
  <c r="N70" i="12"/>
  <c r="C71" i="12"/>
  <c r="L51" i="12"/>
  <c r="H62" i="12"/>
  <c r="D51" i="12"/>
  <c r="E62" i="12"/>
  <c r="H51" i="12"/>
  <c r="L62" i="12"/>
  <c r="D62" i="12"/>
  <c r="E51" i="12"/>
  <c r="I51" i="12"/>
  <c r="M51" i="12"/>
  <c r="K62" i="12"/>
  <c r="G62" i="12"/>
  <c r="B62" i="12"/>
  <c r="F51" i="12"/>
  <c r="J51" i="12"/>
  <c r="N57" i="12"/>
  <c r="J62" i="12"/>
  <c r="F62" i="12"/>
  <c r="C62" i="12"/>
  <c r="C51" i="12"/>
  <c r="G51" i="12"/>
  <c r="M62" i="12"/>
  <c r="I62" i="12"/>
  <c r="N58" i="12"/>
  <c r="N60" i="12" s="1"/>
  <c r="I24" i="11" s="1"/>
  <c r="L42" i="12"/>
  <c r="M33" i="12"/>
  <c r="B33" i="12"/>
  <c r="G33" i="12"/>
  <c r="N80" i="12"/>
  <c r="L22" i="7"/>
  <c r="N22" i="7"/>
  <c r="L28" i="11"/>
  <c r="M28" i="11" s="1"/>
  <c r="K28" i="11"/>
  <c r="H50" i="11"/>
  <c r="F33" i="12"/>
  <c r="I42" i="12"/>
  <c r="K33" i="12"/>
  <c r="F42" i="12"/>
  <c r="D33" i="12"/>
  <c r="H33" i="12"/>
  <c r="L33" i="12"/>
  <c r="C42" i="12"/>
  <c r="G42" i="12"/>
  <c r="K42" i="12"/>
  <c r="J33" i="12"/>
  <c r="E42" i="12"/>
  <c r="M42" i="12"/>
  <c r="C33" i="12"/>
  <c r="B42" i="12"/>
  <c r="J42" i="12"/>
  <c r="E33" i="12"/>
  <c r="I33" i="12"/>
  <c r="D42" i="12"/>
  <c r="H42" i="12"/>
  <c r="L19" i="10"/>
  <c r="M19" i="10" s="1"/>
  <c r="M29" i="10"/>
  <c r="K19" i="10"/>
  <c r="H40" i="10"/>
  <c r="V32" i="2" l="1"/>
  <c r="G33" i="2" s="1"/>
  <c r="T32" i="2"/>
  <c r="E33" i="2" s="1"/>
  <c r="C25" i="18"/>
  <c r="F15" i="12"/>
  <c r="M31" i="7"/>
  <c r="R32" i="2"/>
  <c r="C33" i="2" s="1"/>
  <c r="B90" i="2"/>
  <c r="B91" i="2"/>
  <c r="B92" i="2" s="1"/>
  <c r="W32" i="2"/>
  <c r="H33" i="2" s="1"/>
  <c r="M24" i="14"/>
  <c r="AA32" i="2"/>
  <c r="L33" i="2" s="1"/>
  <c r="T83" i="2"/>
  <c r="E80" i="2" s="1"/>
  <c r="E82" i="2" s="1"/>
  <c r="X83" i="2"/>
  <c r="I80" i="2" s="1"/>
  <c r="I82" i="2" s="1"/>
  <c r="Z32" i="2"/>
  <c r="K33" i="2" s="1"/>
  <c r="Y32" i="2"/>
  <c r="J33" i="2" s="1"/>
  <c r="Z83" i="2"/>
  <c r="K80" i="2" s="1"/>
  <c r="K82" i="2" s="1"/>
  <c r="N100" i="2"/>
  <c r="J15" i="12"/>
  <c r="C32" i="14"/>
  <c r="J32" i="14"/>
  <c r="J33" i="14"/>
  <c r="B33" i="14"/>
  <c r="B32" i="14"/>
  <c r="M32" i="14"/>
  <c r="F32" i="14"/>
  <c r="D32" i="14"/>
  <c r="N31" i="14"/>
  <c r="J19" i="13" s="1"/>
  <c r="E98" i="12"/>
  <c r="S42" i="2"/>
  <c r="D40" i="2" s="1"/>
  <c r="W83" i="2"/>
  <c r="H80" i="2" s="1"/>
  <c r="H82" i="2" s="1"/>
  <c r="AB83" i="2"/>
  <c r="M80" i="2" s="1"/>
  <c r="M82" i="2" s="1"/>
  <c r="M29" i="7"/>
  <c r="G14" i="12"/>
  <c r="AB42" i="2"/>
  <c r="M40" i="2" s="1"/>
  <c r="F6" i="12"/>
  <c r="AA42" i="2"/>
  <c r="L40" i="2" s="1"/>
  <c r="AC74" i="2"/>
  <c r="AC75" i="2" s="1"/>
  <c r="Y83" i="2"/>
  <c r="J80" i="2" s="1"/>
  <c r="J82" i="2" s="1"/>
  <c r="H14" i="12"/>
  <c r="AC82" i="2"/>
  <c r="J48" i="11"/>
  <c r="K48" i="11" s="1"/>
  <c r="M50" i="7"/>
  <c r="N50" i="7" s="1"/>
  <c r="AC91" i="2"/>
  <c r="AC92" i="2" s="1"/>
  <c r="D14" i="12"/>
  <c r="F14" i="12"/>
  <c r="E14" i="12"/>
  <c r="I14" i="12"/>
  <c r="C74" i="2"/>
  <c r="D107" i="12"/>
  <c r="J18" i="11"/>
  <c r="L18" i="11" s="1"/>
  <c r="M18" i="11" s="1"/>
  <c r="AC41" i="2"/>
  <c r="K14" i="12"/>
  <c r="B14" i="12"/>
  <c r="B15" i="12"/>
  <c r="N13" i="12"/>
  <c r="J17" i="11" s="1"/>
  <c r="AA83" i="2"/>
  <c r="L80" i="2" s="1"/>
  <c r="L82" i="2" s="1"/>
  <c r="S75" i="2"/>
  <c r="D73" i="2" s="1"/>
  <c r="N89" i="2"/>
  <c r="N91" i="2" s="1"/>
  <c r="I90" i="2"/>
  <c r="M90" i="2"/>
  <c r="F90" i="2"/>
  <c r="J90" i="2"/>
  <c r="C90" i="2"/>
  <c r="K90" i="2"/>
  <c r="D90" i="2"/>
  <c r="H90" i="2"/>
  <c r="L90" i="2"/>
  <c r="G90" i="2"/>
  <c r="L41" i="14"/>
  <c r="K41" i="14"/>
  <c r="M42" i="14" s="1"/>
  <c r="J41" i="14"/>
  <c r="K42" i="14" s="1"/>
  <c r="H41" i="14"/>
  <c r="C41" i="14"/>
  <c r="C73" i="14" s="1"/>
  <c r="J20" i="13"/>
  <c r="L20" i="13" s="1"/>
  <c r="M20" i="13" s="1"/>
  <c r="AC30" i="2"/>
  <c r="AC32" i="2" s="1"/>
  <c r="N31" i="2" s="1"/>
  <c r="J48" i="8"/>
  <c r="Q79" i="2"/>
  <c r="Q83" i="2" s="1"/>
  <c r="B80" i="2" s="1"/>
  <c r="K48" i="8"/>
  <c r="S83" i="2"/>
  <c r="Y42" i="2"/>
  <c r="J40" i="2" s="1"/>
  <c r="W42" i="2"/>
  <c r="H40" i="2" s="1"/>
  <c r="G23" i="8"/>
  <c r="Q38" i="2"/>
  <c r="Q42" i="2" s="1"/>
  <c r="F13" i="1" s="1"/>
  <c r="J6" i="12"/>
  <c r="J14" i="12"/>
  <c r="L14" i="12"/>
  <c r="M14" i="12"/>
  <c r="I32" i="14"/>
  <c r="K32" i="14"/>
  <c r="H32" i="14"/>
  <c r="L32" i="14"/>
  <c r="G32" i="14"/>
  <c r="F33" i="14"/>
  <c r="D25" i="18"/>
  <c r="G16" i="12"/>
  <c r="T42" i="2"/>
  <c r="E40" i="2" s="1"/>
  <c r="B16" i="12"/>
  <c r="E16" i="12"/>
  <c r="D15" i="12"/>
  <c r="L25" i="18"/>
  <c r="M25" i="18"/>
  <c r="J25" i="18"/>
  <c r="N21" i="18"/>
  <c r="I18" i="17" s="1"/>
  <c r="H16" i="12"/>
  <c r="I16" i="12"/>
  <c r="C16" i="12"/>
  <c r="F16" i="12"/>
  <c r="L34" i="14"/>
  <c r="G25" i="18"/>
  <c r="H25" i="18"/>
  <c r="E24" i="18"/>
  <c r="J34" i="14"/>
  <c r="B34" i="14"/>
  <c r="E25" i="18"/>
  <c r="F25" i="18"/>
  <c r="K25" i="18"/>
  <c r="M34" i="14"/>
  <c r="N12" i="18"/>
  <c r="I17" i="17" s="1"/>
  <c r="D16" i="12"/>
  <c r="G34" i="14"/>
  <c r="I25" i="18"/>
  <c r="R42" i="2"/>
  <c r="C40" i="2" s="1"/>
  <c r="K16" i="12"/>
  <c r="N12" i="12"/>
  <c r="I17" i="11" s="1"/>
  <c r="N3" i="12"/>
  <c r="I16" i="11" s="1"/>
  <c r="J16" i="12"/>
  <c r="L16" i="12"/>
  <c r="C34" i="14"/>
  <c r="E34" i="14"/>
  <c r="F34" i="14"/>
  <c r="N21" i="14"/>
  <c r="I18" i="13" s="1"/>
  <c r="Z42" i="2"/>
  <c r="K40" i="2" s="1"/>
  <c r="V42" i="2"/>
  <c r="G40" i="2" s="1"/>
  <c r="N30" i="14"/>
  <c r="I19" i="13" s="1"/>
  <c r="I34" i="14"/>
  <c r="D34" i="14"/>
  <c r="K34" i="14"/>
  <c r="M16" i="12"/>
  <c r="H34" i="14"/>
  <c r="B13" i="18"/>
  <c r="B22" i="14"/>
  <c r="B4" i="12"/>
  <c r="N46" i="2"/>
  <c r="N48" i="2" s="1"/>
  <c r="X42" i="2"/>
  <c r="I40" i="2" s="1"/>
  <c r="K25" i="17"/>
  <c r="N49" i="14"/>
  <c r="AC39" i="2"/>
  <c r="K26" i="13"/>
  <c r="D121" i="14"/>
  <c r="I82" i="14"/>
  <c r="M82" i="14"/>
  <c r="J21" i="13"/>
  <c r="L21" i="13" s="1"/>
  <c r="M21" i="13" s="1"/>
  <c r="N112" i="18"/>
  <c r="J46" i="17"/>
  <c r="N103" i="18"/>
  <c r="J42" i="17"/>
  <c r="N74" i="18"/>
  <c r="J27" i="17"/>
  <c r="N40" i="18"/>
  <c r="J20" i="17"/>
  <c r="L16" i="17"/>
  <c r="M16" i="17" s="1"/>
  <c r="N94" i="18"/>
  <c r="J41" i="17"/>
  <c r="N85" i="18"/>
  <c r="J30" i="17"/>
  <c r="I21" i="17"/>
  <c r="N32" i="18"/>
  <c r="J19" i="17"/>
  <c r="N6" i="18"/>
  <c r="E82" i="14"/>
  <c r="D120" i="14"/>
  <c r="H120" i="14"/>
  <c r="L120" i="14"/>
  <c r="K120" i="14"/>
  <c r="E120" i="14"/>
  <c r="I120" i="14"/>
  <c r="M120" i="14"/>
  <c r="F120" i="14"/>
  <c r="J120" i="14"/>
  <c r="C120" i="14"/>
  <c r="G120" i="14"/>
  <c r="G48" i="8"/>
  <c r="C48" i="8"/>
  <c r="N47" i="8"/>
  <c r="H48" i="8"/>
  <c r="E48" i="8"/>
  <c r="B48" i="8"/>
  <c r="B49" i="8" s="1"/>
  <c r="L48" i="8"/>
  <c r="J46" i="11"/>
  <c r="K46" i="11" s="1"/>
  <c r="L82" i="14"/>
  <c r="H82" i="14"/>
  <c r="K82" i="14"/>
  <c r="B120" i="14"/>
  <c r="N23" i="12"/>
  <c r="F98" i="12"/>
  <c r="D48" i="8"/>
  <c r="F48" i="8"/>
  <c r="N81" i="14"/>
  <c r="N83" i="14" s="1"/>
  <c r="N102" i="14"/>
  <c r="E83" i="14"/>
  <c r="J82" i="14"/>
  <c r="G82" i="14"/>
  <c r="I48" i="8"/>
  <c r="N41" i="14"/>
  <c r="N112" i="14"/>
  <c r="J43" i="13"/>
  <c r="N94" i="14"/>
  <c r="J31" i="13"/>
  <c r="N103" i="14"/>
  <c r="J42" i="13"/>
  <c r="N121" i="14"/>
  <c r="K17" i="13"/>
  <c r="I22" i="13"/>
  <c r="L17" i="13"/>
  <c r="M17" i="13" s="1"/>
  <c r="M95" i="14"/>
  <c r="I95" i="14"/>
  <c r="E95" i="14"/>
  <c r="K95" i="14"/>
  <c r="C95" i="14"/>
  <c r="J95" i="14"/>
  <c r="L95" i="14"/>
  <c r="H95" i="14"/>
  <c r="D95" i="14"/>
  <c r="G95" i="14"/>
  <c r="F95" i="14"/>
  <c r="B83" i="14"/>
  <c r="B84" i="14" s="1"/>
  <c r="B82" i="14"/>
  <c r="N15" i="14"/>
  <c r="J73" i="14"/>
  <c r="I73" i="14"/>
  <c r="F73" i="14"/>
  <c r="D42" i="14"/>
  <c r="E73" i="14"/>
  <c r="E42" i="14"/>
  <c r="D73" i="14"/>
  <c r="K73" i="14"/>
  <c r="H42" i="14"/>
  <c r="F42" i="14"/>
  <c r="L73" i="14"/>
  <c r="I42" i="14"/>
  <c r="G42" i="14"/>
  <c r="G73" i="14"/>
  <c r="L42" i="14"/>
  <c r="M73" i="14"/>
  <c r="N6" i="14"/>
  <c r="M40" i="13"/>
  <c r="I107" i="12"/>
  <c r="J98" i="12"/>
  <c r="H107" i="12"/>
  <c r="L98" i="12"/>
  <c r="M98" i="12"/>
  <c r="J24" i="11"/>
  <c r="K24" i="11" s="1"/>
  <c r="N61" i="12"/>
  <c r="B107" i="12"/>
  <c r="L107" i="12"/>
  <c r="J107" i="12"/>
  <c r="G107" i="12"/>
  <c r="H98" i="12"/>
  <c r="G98" i="12"/>
  <c r="K107" i="12"/>
  <c r="M107" i="12"/>
  <c r="F107" i="12"/>
  <c r="K98" i="12"/>
  <c r="E107" i="12"/>
  <c r="C107" i="12"/>
  <c r="I98" i="12"/>
  <c r="D98" i="12"/>
  <c r="L46" i="11"/>
  <c r="M46" i="11" s="1"/>
  <c r="K42" i="11"/>
  <c r="L41" i="11"/>
  <c r="M41" i="11" s="1"/>
  <c r="N88" i="12"/>
  <c r="B50" i="12"/>
  <c r="B51" i="12" s="1"/>
  <c r="B49" i="12"/>
  <c r="N48" i="12"/>
  <c r="N68" i="8"/>
  <c r="J31" i="10"/>
  <c r="B69" i="8"/>
  <c r="D69" i="8"/>
  <c r="H69" i="8"/>
  <c r="L69" i="8"/>
  <c r="E69" i="8"/>
  <c r="I69" i="8"/>
  <c r="M69" i="8"/>
  <c r="F69" i="8"/>
  <c r="J69" i="8"/>
  <c r="C69" i="8"/>
  <c r="G69" i="8"/>
  <c r="K69" i="8"/>
  <c r="D23" i="8"/>
  <c r="K23" i="8"/>
  <c r="N22" i="8"/>
  <c r="I23" i="8"/>
  <c r="M23" i="8"/>
  <c r="F23" i="8"/>
  <c r="B23" i="8"/>
  <c r="L23" i="8"/>
  <c r="C23" i="8"/>
  <c r="H23" i="8"/>
  <c r="J23" i="8"/>
  <c r="E23" i="8"/>
  <c r="K21" i="11"/>
  <c r="K20" i="11"/>
  <c r="N71" i="12"/>
  <c r="J27" i="11"/>
  <c r="M40" i="8"/>
  <c r="L40" i="8"/>
  <c r="K40" i="8"/>
  <c r="J40" i="8"/>
  <c r="I40" i="8"/>
  <c r="H40" i="8"/>
  <c r="G40" i="8"/>
  <c r="F40" i="8"/>
  <c r="E40" i="8"/>
  <c r="D40" i="8"/>
  <c r="C40" i="8"/>
  <c r="M39" i="8"/>
  <c r="L39" i="8"/>
  <c r="K39" i="8"/>
  <c r="J39" i="8"/>
  <c r="I39" i="8"/>
  <c r="H39" i="8"/>
  <c r="G39" i="8"/>
  <c r="F39" i="8"/>
  <c r="E39" i="8"/>
  <c r="D39" i="8"/>
  <c r="C39" i="8"/>
  <c r="B39" i="8"/>
  <c r="B40" i="8" s="1"/>
  <c r="N38" i="8"/>
  <c r="J22" i="10" s="1"/>
  <c r="N37" i="8"/>
  <c r="I22" i="10" s="1"/>
  <c r="M32" i="8"/>
  <c r="L32" i="8"/>
  <c r="K32" i="8"/>
  <c r="J32" i="8"/>
  <c r="I32" i="8"/>
  <c r="H32" i="8"/>
  <c r="G32" i="8"/>
  <c r="F32" i="8"/>
  <c r="E32" i="8"/>
  <c r="C32" i="8"/>
  <c r="B32" i="8"/>
  <c r="M14" i="8"/>
  <c r="L14" i="8"/>
  <c r="K14" i="8"/>
  <c r="J14" i="8"/>
  <c r="I14" i="8"/>
  <c r="H14" i="8"/>
  <c r="G14" i="8"/>
  <c r="F14" i="8"/>
  <c r="E14" i="8"/>
  <c r="D14" i="8"/>
  <c r="C14" i="8"/>
  <c r="B14" i="8"/>
  <c r="N13" i="8"/>
  <c r="M15" i="8"/>
  <c r="L15" i="8"/>
  <c r="K15" i="8"/>
  <c r="J15" i="8"/>
  <c r="I15" i="8"/>
  <c r="H15" i="8"/>
  <c r="G15" i="8"/>
  <c r="F15" i="8"/>
  <c r="E15" i="8"/>
  <c r="C15" i="8"/>
  <c r="M6" i="8"/>
  <c r="J6" i="8"/>
  <c r="I6" i="8"/>
  <c r="H6" i="8"/>
  <c r="G6" i="8"/>
  <c r="F6" i="8"/>
  <c r="E6" i="8"/>
  <c r="D6" i="8"/>
  <c r="C6" i="8"/>
  <c r="J18" i="7"/>
  <c r="D80" i="7"/>
  <c r="L80" i="7" s="1"/>
  <c r="C80" i="7"/>
  <c r="H80" i="7" s="1"/>
  <c r="B80" i="7"/>
  <c r="E80" i="7" s="1"/>
  <c r="C65" i="7"/>
  <c r="M60" i="7"/>
  <c r="N60" i="7" s="1"/>
  <c r="M59" i="7"/>
  <c r="N59" i="7" s="1"/>
  <c r="H51" i="7"/>
  <c r="N49" i="7"/>
  <c r="L49" i="7"/>
  <c r="N47" i="7"/>
  <c r="L47" i="7"/>
  <c r="N46" i="7"/>
  <c r="L46" i="7"/>
  <c r="H41" i="7"/>
  <c r="N40" i="7"/>
  <c r="L40" i="7"/>
  <c r="N38" i="7"/>
  <c r="L38" i="7"/>
  <c r="N36" i="7"/>
  <c r="L36" i="7"/>
  <c r="N35" i="7"/>
  <c r="L35" i="7"/>
  <c r="N34" i="7"/>
  <c r="L34" i="7"/>
  <c r="N33" i="7"/>
  <c r="L33" i="7"/>
  <c r="H28" i="7"/>
  <c r="N27" i="7"/>
  <c r="L27" i="7"/>
  <c r="N24" i="7"/>
  <c r="L24" i="7"/>
  <c r="N21" i="7"/>
  <c r="L21" i="7"/>
  <c r="H20" i="7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D64" i="2"/>
  <c r="E64" i="2"/>
  <c r="F64" i="2"/>
  <c r="G64" i="2"/>
  <c r="H64" i="2"/>
  <c r="I64" i="2"/>
  <c r="J64" i="2"/>
  <c r="K64" i="2"/>
  <c r="L64" i="2"/>
  <c r="M64" i="2"/>
  <c r="C64" i="2"/>
  <c r="B64" i="2"/>
  <c r="G20" i="1" s="1"/>
  <c r="D55" i="2"/>
  <c r="E55" i="2"/>
  <c r="F55" i="2"/>
  <c r="G55" i="2"/>
  <c r="H55" i="2"/>
  <c r="I55" i="2"/>
  <c r="J55" i="2"/>
  <c r="K55" i="2"/>
  <c r="L55" i="2"/>
  <c r="M55" i="2"/>
  <c r="C55" i="2"/>
  <c r="B55" i="2"/>
  <c r="D47" i="2"/>
  <c r="E47" i="2"/>
  <c r="F47" i="2"/>
  <c r="G47" i="2"/>
  <c r="H47" i="2"/>
  <c r="I47" i="2"/>
  <c r="J47" i="2"/>
  <c r="K47" i="2"/>
  <c r="L47" i="2"/>
  <c r="M47" i="2"/>
  <c r="C47" i="2"/>
  <c r="B47" i="2"/>
  <c r="I11" i="1"/>
  <c r="N63" i="2"/>
  <c r="K30" i="7" s="1"/>
  <c r="N62" i="2"/>
  <c r="H20" i="1" s="1"/>
  <c r="J19" i="1"/>
  <c r="G19" i="1"/>
  <c r="C56" i="2"/>
  <c r="D56" i="2"/>
  <c r="E56" i="2"/>
  <c r="F56" i="2"/>
  <c r="G56" i="2"/>
  <c r="H56" i="2"/>
  <c r="I56" i="2"/>
  <c r="J56" i="2"/>
  <c r="K56" i="2"/>
  <c r="L56" i="2"/>
  <c r="M56" i="2"/>
  <c r="B56" i="2"/>
  <c r="B57" i="2" s="1"/>
  <c r="N54" i="2"/>
  <c r="N56" i="2" s="1"/>
  <c r="G14" i="1"/>
  <c r="G13" i="1"/>
  <c r="K81" i="2" l="1"/>
  <c r="G81" i="2"/>
  <c r="B81" i="2"/>
  <c r="J81" i="2"/>
  <c r="F81" i="2"/>
  <c r="D81" i="2"/>
  <c r="H81" i="2"/>
  <c r="M81" i="2"/>
  <c r="I81" i="2"/>
  <c r="E81" i="2"/>
  <c r="L81" i="2"/>
  <c r="C81" i="2"/>
  <c r="AC79" i="2"/>
  <c r="AC83" i="2" s="1"/>
  <c r="N65" i="2"/>
  <c r="N24" i="18"/>
  <c r="M42" i="7"/>
  <c r="N42" i="7" s="1"/>
  <c r="L42" i="7"/>
  <c r="N33" i="14"/>
  <c r="L92" i="2"/>
  <c r="M92" i="2"/>
  <c r="G92" i="2"/>
  <c r="H92" i="2"/>
  <c r="I92" i="2"/>
  <c r="C92" i="2"/>
  <c r="K92" i="2"/>
  <c r="J92" i="2"/>
  <c r="F92" i="2"/>
  <c r="L48" i="11"/>
  <c r="M48" i="11" s="1"/>
  <c r="E92" i="2"/>
  <c r="D92" i="2"/>
  <c r="L50" i="7"/>
  <c r="N15" i="12"/>
  <c r="K18" i="11"/>
  <c r="E74" i="2"/>
  <c r="H74" i="2"/>
  <c r="N72" i="2"/>
  <c r="D74" i="2"/>
  <c r="L74" i="2"/>
  <c r="M74" i="2"/>
  <c r="K74" i="2"/>
  <c r="J74" i="2"/>
  <c r="K48" i="7"/>
  <c r="I74" i="2"/>
  <c r="G74" i="2"/>
  <c r="F74" i="2"/>
  <c r="J42" i="14"/>
  <c r="H73" i="14"/>
  <c r="C42" i="14"/>
  <c r="K20" i="13"/>
  <c r="B82" i="2"/>
  <c r="D82" i="2"/>
  <c r="N80" i="2"/>
  <c r="J18" i="10"/>
  <c r="K18" i="10" s="1"/>
  <c r="AC38" i="2"/>
  <c r="AC42" i="2" s="1"/>
  <c r="B40" i="2"/>
  <c r="N39" i="2"/>
  <c r="K18" i="7" s="1"/>
  <c r="K19" i="7"/>
  <c r="I23" i="14"/>
  <c r="B25" i="14"/>
  <c r="J23" i="14"/>
  <c r="E25" i="14"/>
  <c r="B23" i="14"/>
  <c r="C23" i="14"/>
  <c r="E23" i="14"/>
  <c r="H25" i="14"/>
  <c r="C25" i="14"/>
  <c r="H23" i="14"/>
  <c r="F25" i="14"/>
  <c r="I25" i="14"/>
  <c r="D23" i="14"/>
  <c r="J25" i="14"/>
  <c r="G23" i="14"/>
  <c r="B24" i="14"/>
  <c r="D25" i="14"/>
  <c r="G25" i="14"/>
  <c r="F23" i="14"/>
  <c r="H14" i="18"/>
  <c r="B15" i="18"/>
  <c r="I14" i="18"/>
  <c r="B16" i="18"/>
  <c r="E16" i="18"/>
  <c r="J16" i="18"/>
  <c r="G14" i="18"/>
  <c r="J14" i="18"/>
  <c r="H16" i="18"/>
  <c r="E14" i="18"/>
  <c r="C16" i="18"/>
  <c r="G16" i="18"/>
  <c r="F16" i="18"/>
  <c r="C14" i="18"/>
  <c r="I16" i="18"/>
  <c r="F14" i="18"/>
  <c r="D16" i="18"/>
  <c r="D14" i="18"/>
  <c r="B14" i="18"/>
  <c r="J16" i="1"/>
  <c r="H5" i="12"/>
  <c r="F5" i="12"/>
  <c r="J7" i="12"/>
  <c r="G5" i="12"/>
  <c r="J5" i="12"/>
  <c r="D5" i="12"/>
  <c r="F7" i="12"/>
  <c r="B5" i="12"/>
  <c r="B6" i="12"/>
  <c r="D7" i="12"/>
  <c r="G7" i="12"/>
  <c r="H7" i="12"/>
  <c r="C5" i="12"/>
  <c r="E5" i="12"/>
  <c r="C7" i="12"/>
  <c r="I7" i="12"/>
  <c r="I5" i="12"/>
  <c r="B7" i="12"/>
  <c r="E7" i="12"/>
  <c r="K21" i="13"/>
  <c r="L19" i="17"/>
  <c r="M19" i="17" s="1"/>
  <c r="K19" i="17"/>
  <c r="L30" i="17"/>
  <c r="M30" i="17" s="1"/>
  <c r="K30" i="17"/>
  <c r="L41" i="17"/>
  <c r="M41" i="17" s="1"/>
  <c r="K41" i="17"/>
  <c r="K27" i="17"/>
  <c r="L27" i="17"/>
  <c r="M27" i="17" s="1"/>
  <c r="K46" i="17"/>
  <c r="L46" i="17"/>
  <c r="M46" i="17" s="1"/>
  <c r="K21" i="17"/>
  <c r="L21" i="17"/>
  <c r="M21" i="17" s="1"/>
  <c r="L18" i="17"/>
  <c r="M18" i="17" s="1"/>
  <c r="K18" i="17"/>
  <c r="K20" i="17"/>
  <c r="L20" i="17"/>
  <c r="M20" i="17" s="1"/>
  <c r="L42" i="17"/>
  <c r="M42" i="17" s="1"/>
  <c r="K42" i="17"/>
  <c r="N49" i="8"/>
  <c r="J32" i="10"/>
  <c r="J28" i="13"/>
  <c r="B50" i="8"/>
  <c r="K50" i="8"/>
  <c r="C50" i="8"/>
  <c r="F50" i="8"/>
  <c r="I50" i="8"/>
  <c r="G50" i="8"/>
  <c r="J50" i="8"/>
  <c r="L50" i="8"/>
  <c r="M50" i="8"/>
  <c r="D50" i="8"/>
  <c r="E50" i="8"/>
  <c r="H50" i="8"/>
  <c r="K31" i="13"/>
  <c r="L31" i="13"/>
  <c r="M31" i="13" s="1"/>
  <c r="L47" i="13"/>
  <c r="M47" i="13" s="1"/>
  <c r="K47" i="13"/>
  <c r="K28" i="13"/>
  <c r="L28" i="13"/>
  <c r="M28" i="13" s="1"/>
  <c r="K42" i="13"/>
  <c r="L42" i="13"/>
  <c r="M42" i="13" s="1"/>
  <c r="K43" i="13"/>
  <c r="L43" i="13"/>
  <c r="M43" i="13" s="1"/>
  <c r="L19" i="13"/>
  <c r="M19" i="13" s="1"/>
  <c r="K19" i="13"/>
  <c r="J21" i="1"/>
  <c r="J30" i="7"/>
  <c r="L24" i="11"/>
  <c r="M24" i="11" s="1"/>
  <c r="M49" i="11"/>
  <c r="N50" i="12"/>
  <c r="J22" i="11"/>
  <c r="L31" i="10"/>
  <c r="M31" i="10" s="1"/>
  <c r="K31" i="10"/>
  <c r="L27" i="11"/>
  <c r="M27" i="11" s="1"/>
  <c r="M39" i="11" s="1"/>
  <c r="K27" i="11"/>
  <c r="L17" i="11"/>
  <c r="M17" i="11" s="1"/>
  <c r="K17" i="11"/>
  <c r="I20" i="1"/>
  <c r="G21" i="1"/>
  <c r="I12" i="1"/>
  <c r="I14" i="1"/>
  <c r="E14" i="1"/>
  <c r="N40" i="8"/>
  <c r="C61" i="8"/>
  <c r="D61" i="8"/>
  <c r="F61" i="8"/>
  <c r="E61" i="8"/>
  <c r="L61" i="8"/>
  <c r="J61" i="8"/>
  <c r="G61" i="8"/>
  <c r="B61" i="8"/>
  <c r="I61" i="8"/>
  <c r="K61" i="8"/>
  <c r="M61" i="8"/>
  <c r="H61" i="8"/>
  <c r="L16" i="8"/>
  <c r="B15" i="8"/>
  <c r="N3" i="8"/>
  <c r="I16" i="10" s="1"/>
  <c r="M16" i="8"/>
  <c r="L41" i="8"/>
  <c r="I16" i="8"/>
  <c r="E41" i="8"/>
  <c r="I41" i="8"/>
  <c r="M41" i="8"/>
  <c r="B16" i="8"/>
  <c r="F16" i="8"/>
  <c r="J16" i="8"/>
  <c r="N24" i="8"/>
  <c r="B41" i="8"/>
  <c r="F41" i="8"/>
  <c r="J41" i="8"/>
  <c r="N12" i="8"/>
  <c r="D15" i="8"/>
  <c r="C16" i="8"/>
  <c r="G16" i="8"/>
  <c r="K16" i="8"/>
  <c r="N32" i="8"/>
  <c r="D32" i="8"/>
  <c r="C41" i="8"/>
  <c r="G41" i="8"/>
  <c r="K41" i="8"/>
  <c r="E16" i="8"/>
  <c r="D16" i="8"/>
  <c r="H16" i="8"/>
  <c r="D41" i="8"/>
  <c r="H41" i="8"/>
  <c r="L31" i="7"/>
  <c r="N31" i="7"/>
  <c r="L29" i="7"/>
  <c r="N29" i="7"/>
  <c r="H52" i="7"/>
  <c r="G16" i="1"/>
  <c r="B32" i="2"/>
  <c r="G12" i="1" s="1"/>
  <c r="H66" i="2"/>
  <c r="E66" i="2"/>
  <c r="D66" i="2"/>
  <c r="B66" i="2"/>
  <c r="J20" i="1" s="1"/>
  <c r="K66" i="2"/>
  <c r="G66" i="2"/>
  <c r="L66" i="2"/>
  <c r="F57" i="2"/>
  <c r="C66" i="2"/>
  <c r="J66" i="2"/>
  <c r="F66" i="2"/>
  <c r="C57" i="2"/>
  <c r="M66" i="2"/>
  <c r="I66" i="2"/>
  <c r="M57" i="2"/>
  <c r="I57" i="2"/>
  <c r="E57" i="2"/>
  <c r="L57" i="2"/>
  <c r="D57" i="2"/>
  <c r="K57" i="2"/>
  <c r="G57" i="2"/>
  <c r="H57" i="2"/>
  <c r="J57" i="2"/>
  <c r="N53" i="2"/>
  <c r="J19" i="7"/>
  <c r="K43" i="7" l="1"/>
  <c r="N73" i="2"/>
  <c r="M48" i="7"/>
  <c r="N48" i="7" s="1"/>
  <c r="L48" i="7"/>
  <c r="M30" i="7"/>
  <c r="N30" i="7" s="1"/>
  <c r="N41" i="7" s="1"/>
  <c r="L19" i="7"/>
  <c r="M19" i="7"/>
  <c r="N19" i="7" s="1"/>
  <c r="B83" i="2"/>
  <c r="C83" i="2"/>
  <c r="N82" i="2"/>
  <c r="K44" i="7"/>
  <c r="F83" i="2"/>
  <c r="J83" i="2"/>
  <c r="G83" i="2"/>
  <c r="K83" i="2"/>
  <c r="D83" i="2"/>
  <c r="H83" i="2"/>
  <c r="L83" i="2"/>
  <c r="E83" i="2"/>
  <c r="I83" i="2"/>
  <c r="M83" i="2"/>
  <c r="M18" i="7"/>
  <c r="N18" i="7" s="1"/>
  <c r="L18" i="10"/>
  <c r="M18" i="10" s="1"/>
  <c r="L18" i="7"/>
  <c r="M48" i="17"/>
  <c r="M32" i="17"/>
  <c r="K32" i="10"/>
  <c r="L32" i="10"/>
  <c r="M32" i="10" s="1"/>
  <c r="M39" i="10" s="1"/>
  <c r="L30" i="7"/>
  <c r="M49" i="13"/>
  <c r="M33" i="13"/>
  <c r="H16" i="1"/>
  <c r="J23" i="7"/>
  <c r="M23" i="7" s="1"/>
  <c r="K22" i="13"/>
  <c r="L22" i="13"/>
  <c r="M22" i="13" s="1"/>
  <c r="L22" i="11"/>
  <c r="M22" i="11" s="1"/>
  <c r="M26" i="11" s="1"/>
  <c r="K22" i="11"/>
  <c r="L22" i="10"/>
  <c r="M22" i="10" s="1"/>
  <c r="M23" i="10" s="1"/>
  <c r="K22" i="10"/>
  <c r="N15" i="8"/>
  <c r="I17" i="10"/>
  <c r="B7" i="8"/>
  <c r="B6" i="8"/>
  <c r="B5" i="8"/>
  <c r="H14" i="1"/>
  <c r="J14" i="1" s="1"/>
  <c r="M43" i="7" l="1"/>
  <c r="N43" i="7" s="1"/>
  <c r="L43" i="7"/>
  <c r="M44" i="7"/>
  <c r="N44" i="7" s="1"/>
  <c r="L44" i="7"/>
  <c r="L23" i="7"/>
  <c r="N23" i="7"/>
  <c r="N28" i="7" s="1"/>
  <c r="J16" i="10"/>
  <c r="K17" i="10"/>
  <c r="L17" i="10"/>
  <c r="M17" i="10" s="1"/>
  <c r="D32" i="2"/>
  <c r="E32" i="2"/>
  <c r="F32" i="2"/>
  <c r="G32" i="2"/>
  <c r="I32" i="2"/>
  <c r="J32" i="2"/>
  <c r="K32" i="2"/>
  <c r="L32" i="2"/>
  <c r="M32" i="2"/>
  <c r="K17" i="7"/>
  <c r="C15" i="2"/>
  <c r="D15" i="2"/>
  <c r="E15" i="2"/>
  <c r="F15" i="2"/>
  <c r="I15" i="2"/>
  <c r="J15" i="2"/>
  <c r="M15" i="2"/>
  <c r="E10" i="1"/>
  <c r="G15" i="2"/>
  <c r="H15" i="2"/>
  <c r="C6" i="2"/>
  <c r="E6" i="2"/>
  <c r="F6" i="2"/>
  <c r="G6" i="2"/>
  <c r="M6" i="2"/>
  <c r="N51" i="7" l="1"/>
  <c r="L15" i="2"/>
  <c r="L13" i="18"/>
  <c r="L15" i="18" s="1"/>
  <c r="L22" i="14"/>
  <c r="L24" i="14" s="1"/>
  <c r="L6" i="8"/>
  <c r="L4" i="12"/>
  <c r="L6" i="12" s="1"/>
  <c r="K15" i="2"/>
  <c r="K4" i="12"/>
  <c r="K13" i="18"/>
  <c r="K22" i="14"/>
  <c r="L16" i="13"/>
  <c r="M16" i="13" s="1"/>
  <c r="K16" i="13"/>
  <c r="H6" i="2"/>
  <c r="L16" i="10"/>
  <c r="M16" i="10" s="1"/>
  <c r="K16" i="10"/>
  <c r="E11" i="1"/>
  <c r="H32" i="2"/>
  <c r="E12" i="1"/>
  <c r="I6" i="2"/>
  <c r="J6" i="2"/>
  <c r="D5" i="2"/>
  <c r="H5" i="2"/>
  <c r="L5" i="2"/>
  <c r="E5" i="2"/>
  <c r="M5" i="2"/>
  <c r="N5" i="2" s="1"/>
  <c r="I5" i="2"/>
  <c r="F5" i="2"/>
  <c r="J5" i="2"/>
  <c r="C5" i="2"/>
  <c r="G5" i="2"/>
  <c r="K5" i="2"/>
  <c r="B5" i="2"/>
  <c r="D7" i="2"/>
  <c r="F9" i="1"/>
  <c r="G7" i="2"/>
  <c r="K6" i="2"/>
  <c r="N3" i="2"/>
  <c r="E9" i="1"/>
  <c r="C7" i="2"/>
  <c r="B7" i="2"/>
  <c r="J7" i="2"/>
  <c r="F7" i="2"/>
  <c r="B6" i="2"/>
  <c r="G9" i="1" s="1"/>
  <c r="N21" i="2"/>
  <c r="N24" i="2" s="1"/>
  <c r="J11" i="1"/>
  <c r="C32" i="2"/>
  <c r="K7" i="2"/>
  <c r="L6" i="2"/>
  <c r="D6" i="2"/>
  <c r="M7" i="2"/>
  <c r="I7" i="2"/>
  <c r="E7" i="2"/>
  <c r="L7" i="2"/>
  <c r="H7" i="2"/>
  <c r="J17" i="7"/>
  <c r="M17" i="7" s="1"/>
  <c r="N12" i="2"/>
  <c r="G16" i="2" l="1"/>
  <c r="K16" i="2"/>
  <c r="B16" i="2"/>
  <c r="D16" i="2"/>
  <c r="H16" i="2"/>
  <c r="L16" i="2"/>
  <c r="E16" i="2"/>
  <c r="I16" i="2"/>
  <c r="M16" i="2"/>
  <c r="F16" i="2"/>
  <c r="J16" i="2"/>
  <c r="C16" i="2"/>
  <c r="K6" i="12"/>
  <c r="K7" i="12"/>
  <c r="L5" i="12"/>
  <c r="L7" i="12"/>
  <c r="N4" i="12"/>
  <c r="K5" i="12"/>
  <c r="M5" i="12"/>
  <c r="M7" i="12"/>
  <c r="K15" i="18"/>
  <c r="N13" i="18"/>
  <c r="L16" i="18"/>
  <c r="M16" i="18"/>
  <c r="K16" i="18"/>
  <c r="K14" i="18"/>
  <c r="M14" i="18"/>
  <c r="L14" i="18"/>
  <c r="K6" i="8"/>
  <c r="N4" i="8"/>
  <c r="N6" i="8" s="1"/>
  <c r="M5" i="8"/>
  <c r="K24" i="14"/>
  <c r="K23" i="14"/>
  <c r="M23" i="14"/>
  <c r="M25" i="14"/>
  <c r="K25" i="14"/>
  <c r="L23" i="14"/>
  <c r="L25" i="14"/>
  <c r="N22" i="14"/>
  <c r="Q4" i="2"/>
  <c r="H9" i="1"/>
  <c r="Q3" i="2"/>
  <c r="H10" i="1"/>
  <c r="J15" i="7"/>
  <c r="J14" i="7"/>
  <c r="M14" i="7" s="1"/>
  <c r="N17" i="7"/>
  <c r="L17" i="7"/>
  <c r="H11" i="1"/>
  <c r="J16" i="7"/>
  <c r="I9" i="1"/>
  <c r="J9" i="1"/>
  <c r="M20" i="10"/>
  <c r="M40" i="10"/>
  <c r="N32" i="2"/>
  <c r="H12" i="1"/>
  <c r="J12" i="1" s="1"/>
  <c r="J13" i="1"/>
  <c r="I13" i="1"/>
  <c r="E14" i="2"/>
  <c r="I14" i="2"/>
  <c r="M14" i="2"/>
  <c r="K14" i="2"/>
  <c r="L14" i="2"/>
  <c r="F14" i="2"/>
  <c r="J14" i="2"/>
  <c r="C14" i="2"/>
  <c r="G14" i="2"/>
  <c r="D14" i="2"/>
  <c r="H14" i="2"/>
  <c r="N6" i="2"/>
  <c r="F10" i="1"/>
  <c r="B14" i="2"/>
  <c r="N13" i="2"/>
  <c r="B15" i="2"/>
  <c r="G10" i="1" s="1"/>
  <c r="G11" i="1"/>
  <c r="J18" i="13" l="1"/>
  <c r="N24" i="14"/>
  <c r="J17" i="17"/>
  <c r="N15" i="18"/>
  <c r="N14" i="7"/>
  <c r="J16" i="11"/>
  <c r="N6" i="12"/>
  <c r="Q7" i="2"/>
  <c r="L14" i="7"/>
  <c r="Q8" i="2"/>
  <c r="N15" i="2"/>
  <c r="K15" i="7"/>
  <c r="M15" i="7" s="1"/>
  <c r="K16" i="7"/>
  <c r="I10" i="1"/>
  <c r="J10" i="1" s="1"/>
  <c r="M41" i="10"/>
  <c r="E8" i="10"/>
  <c r="M49" i="10"/>
  <c r="M50" i="10" s="1"/>
  <c r="E10" i="10" s="1"/>
  <c r="L16" i="7" l="1"/>
  <c r="M16" i="7"/>
  <c r="N16" i="7" s="1"/>
  <c r="K17" i="17"/>
  <c r="L17" i="17"/>
  <c r="M17" i="17" s="1"/>
  <c r="K16" i="11"/>
  <c r="L16" i="11"/>
  <c r="M16" i="11" s="1"/>
  <c r="K18" i="13"/>
  <c r="L18" i="13"/>
  <c r="M18" i="13" s="1"/>
  <c r="N15" i="7"/>
  <c r="L15" i="7"/>
  <c r="N52" i="7" l="1"/>
  <c r="M19" i="11"/>
  <c r="M50" i="11"/>
  <c r="M22" i="17"/>
  <c r="M49" i="17"/>
  <c r="M50" i="13"/>
  <c r="M23" i="13"/>
  <c r="N20" i="7"/>
  <c r="N53" i="7" l="1"/>
  <c r="E8" i="7" s="1"/>
  <c r="E6" i="7"/>
  <c r="M59" i="11"/>
  <c r="M60" i="11" s="1"/>
  <c r="E10" i="11" s="1"/>
  <c r="M51" i="11"/>
  <c r="E8" i="11"/>
  <c r="M51" i="13"/>
  <c r="E8" i="13"/>
  <c r="M59" i="13"/>
  <c r="M60" i="13" s="1"/>
  <c r="E10" i="13" s="1"/>
  <c r="M58" i="17"/>
  <c r="M59" i="17" s="1"/>
  <c r="E10" i="17" s="1"/>
  <c r="E8" i="17"/>
  <c r="M50" i="17"/>
  <c r="N61" i="7"/>
  <c r="N6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D24" authorId="0" shapeId="0" xr:uid="{E4A33CB4-0A2A-4CA9-AD4A-A73033568F43}">
      <text>
        <r>
          <rPr>
            <b/>
            <sz val="9"/>
            <color indexed="81"/>
            <rFont val="Tahoma"/>
            <family val="2"/>
          </rPr>
          <t xml:space="preserve">MT05:
YTD,
</t>
        </r>
        <r>
          <rPr>
            <sz val="9"/>
            <color indexed="81"/>
            <rFont val="Tahoma"/>
            <family val="2"/>
          </rPr>
          <t>Data dari Sales MKT  &amp; BusDev</t>
        </r>
      </text>
    </comment>
    <comment ref="D25" authorId="0" shapeId="0" xr:uid="{AEE2629A-77EC-44E2-A9DA-83847AD14092}">
      <text>
        <r>
          <rPr>
            <b/>
            <sz val="9"/>
            <color indexed="81"/>
            <rFont val="Tahoma"/>
            <family val="2"/>
          </rPr>
          <t xml:space="preserve">MT05
</t>
        </r>
        <r>
          <rPr>
            <sz val="9"/>
            <color indexed="81"/>
            <rFont val="Tahoma"/>
            <family val="2"/>
          </rPr>
          <t xml:space="preserve">Data diambil dari RnD atau Tarikan Data SAP?
</t>
        </r>
      </text>
    </comment>
    <comment ref="D32" authorId="0" shapeId="0" xr:uid="{A29AA737-01E2-4B48-81F9-39C008774942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dari MSD, validasi data yang sudah dibuat oleh MSD
</t>
        </r>
      </text>
    </comment>
    <comment ref="J42" authorId="0" shapeId="0" xr:uid="{DA350177-864B-4CEB-8CB0-842897CF4E8A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  <comment ref="D47" authorId="0" shapeId="0" xr:uid="{31761D89-EA0E-4C32-AAD2-1A4C6CE79537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Cara perhitungan temuannya gimana</t>
        </r>
      </text>
    </comment>
    <comment ref="D49" authorId="0" shapeId="0" xr:uid="{A8B1B192-19EE-4D66-8722-AAEF9374815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List data digitalisasi semua dept. rerquest ke tim IT
kemudian presentase ketercapaiannya.</t>
        </r>
      </text>
    </comment>
    <comment ref="D50" authorId="0" shapeId="0" xr:uid="{728E0CE3-27AC-41FE-8939-2E65BAAE4834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hasil produksi yang menggunakan robot perhitungannya bagaimana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  <author>Ivo</author>
    <author>Lilik</author>
  </authors>
  <commentList>
    <comment ref="A61" authorId="0" shapeId="0" xr:uid="{32934452-F446-4426-9327-6EDCC3183786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Indikator Komplain apakah complain yang sudah closed atau semua komplain yang masuk</t>
        </r>
      </text>
    </comment>
    <comment ref="E112" authorId="1" shapeId="0" xr:uid="{25B75177-FD2E-49D5-AE2F-2FCC12D1529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Echool art no. 3</t>
        </r>
      </text>
    </comment>
    <comment ref="A149" authorId="2" shapeId="0" xr:uid="{850DF6F2-7DCE-4EBC-9F91-A2695B0440D0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  <comment ref="A157" authorId="2" shapeId="0" xr:uid="{DADCF6D2-EEA2-4E41-90F6-BD9B778ACAEC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I28" authorId="0" shapeId="0" xr:uid="{AAE5D5F6-DFA9-4BA7-9024-90B08263F008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Dalam Milyard</t>
        </r>
      </text>
    </comment>
    <comment ref="I30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I37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I37" authorId="0" shapeId="0" xr:uid="{FC106304-7B61-4CD7-93B9-4940F8D5908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dalam Milyard
</t>
        </r>
      </text>
    </comment>
    <comment ref="I40" authorId="0" shapeId="0" xr:uid="{CA0864F6-DDB7-477C-B1FD-E5288FD08CB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59" authorId="0" shapeId="0" xr:uid="{B4F0CD35-E079-4ABD-A4BD-E691C0080AF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  <comment ref="G59" authorId="0" shapeId="0" xr:uid="{B9FBCC2F-09E5-46D1-BDCA-68E9E94C3FAF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I38" authorId="0" shapeId="0" xr:uid="{5802DD11-858C-4141-8951-6A6453102D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Dalam Milyard
</t>
        </r>
      </text>
    </comment>
    <comment ref="I41" authorId="0" shapeId="0" xr:uid="{1703E68E-266D-4A31-9EB1-111FB7627F6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92" authorId="0" shapeId="0" xr:uid="{095B23FA-CA69-42A4-A558-7757306C0D6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  <comment ref="G92" authorId="0" shapeId="0" xr:uid="{4A08FCFB-08C0-4F39-819E-8C198EBE215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I37" authorId="0" shapeId="0" xr:uid="{400ED158-7D5B-4483-9785-C68ACEA4253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Dalam Milyard
</t>
        </r>
      </text>
    </comment>
    <comment ref="I40" authorId="0" shapeId="0" xr:uid="{CF5C923E-354B-4F52-86B4-2E6B35F3A26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83" authorId="0" shapeId="0" xr:uid="{F9F60F36-ACAD-4E33-8D86-394809698AA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  <comment ref="G83" authorId="0" shapeId="0" xr:uid="{0E6A9B28-5BCA-47EE-90BB-F30B97912E2B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5 Permintaan di bulan yang sama, ditotal 14 x 5
Actual juga sama, actual pengerjaannya berapa hari</t>
        </r>
      </text>
    </comment>
  </commentList>
</comments>
</file>

<file path=xl/sharedStrings.xml><?xml version="1.0" encoding="utf-8"?>
<sst xmlns="http://schemas.openxmlformats.org/spreadsheetml/2006/main" count="3440" uniqueCount="419">
  <si>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</si>
  <si>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</si>
  <si>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</si>
  <si>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</si>
  <si>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</si>
  <si>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</si>
  <si>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</si>
  <si>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</si>
  <si>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</si>
  <si>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</si>
  <si>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</si>
  <si>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</si>
  <si>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</si>
  <si>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</si>
  <si>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</si>
  <si>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</si>
  <si>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</si>
  <si>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</si>
  <si>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</si>
  <si>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</si>
  <si>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</si>
  <si>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</si>
  <si>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</si>
  <si>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</si>
  <si>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</si>
  <si>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</si>
  <si>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</si>
  <si>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</si>
  <si>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Total Sales/Tahun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</si>
  <si>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</si>
  <si>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</si>
  <si>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</si>
  <si>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</si>
  <si>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</si>
  <si>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</si>
  <si>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</si>
  <si>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</si>
  <si>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</si>
  <si>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</si>
  <si>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</si>
  <si>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</si>
  <si>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</si>
  <si>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</si>
  <si>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Achievement</t>
  </si>
  <si>
    <t>% YTD</t>
  </si>
  <si>
    <t>Gross Profit</t>
  </si>
  <si>
    <t>(dalam M)</t>
  </si>
  <si>
    <t>Net Profit Before Tax</t>
  </si>
  <si>
    <t>Selling Expense</t>
  </si>
  <si>
    <t>Interest Expense</t>
  </si>
  <si>
    <t>in Rupiah</t>
  </si>
  <si>
    <t>Kegagalan G2</t>
  </si>
  <si>
    <t>in Qty</t>
  </si>
  <si>
    <t>in %</t>
  </si>
  <si>
    <t>Komplain Produk</t>
  </si>
  <si>
    <t>Kapasitas Produksi</t>
  </si>
  <si>
    <t>Average/month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</si>
  <si>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</si>
  <si>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</si>
  <si>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</si>
  <si>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</si>
  <si>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</si>
  <si>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</si>
  <si>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</si>
  <si>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</si>
  <si>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</si>
  <si>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</si>
  <si>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</si>
  <si>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</si>
  <si>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</si>
  <si>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</si>
  <si>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</si>
  <si>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</si>
  <si>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</si>
  <si>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</si>
  <si>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</si>
  <si>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</si>
  <si>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</si>
  <si>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</si>
  <si>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</si>
  <si>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</si>
  <si>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</si>
  <si>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</si>
  <si>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</si>
  <si>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</si>
  <si>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</si>
  <si>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</si>
  <si>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</si>
  <si>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</si>
  <si>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</si>
  <si>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</si>
  <si>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</si>
  <si>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</si>
  <si>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</si>
  <si>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</si>
  <si>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</si>
  <si>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</si>
  <si>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</si>
  <si>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</si>
  <si>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</si>
  <si>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</si>
  <si>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</si>
  <si>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</si>
  <si>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</si>
  <si>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</si>
  <si>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</si>
  <si>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</si>
  <si>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</si>
  <si>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</si>
  <si>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</si>
  <si>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</si>
  <si>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</si>
  <si>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</si>
  <si>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</si>
  <si>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</si>
  <si>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</si>
  <si>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</si>
  <si>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</si>
  <si>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</si>
  <si>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</si>
  <si>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 xml:space="preserve">CORPORATE BALANCE SCORE CARD CINT </t>
  </si>
  <si>
    <t>Plan &amp; Evaluation 2024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</si>
  <si>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</si>
  <si>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</si>
  <si>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</si>
  <si>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</si>
  <si>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</si>
  <si>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</si>
  <si>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</si>
  <si>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</si>
  <si>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 xml:space="preserve">Direktur Utama </t>
  </si>
  <si>
    <t>Kazuhito Aminaka</t>
  </si>
  <si>
    <t>Performance Score of Achievement</t>
  </si>
  <si>
    <t>Komisaris Utama</t>
  </si>
  <si>
    <t>Dedie Suherlan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</si>
  <si>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</si>
  <si>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</si>
  <si>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</si>
  <si>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</si>
  <si>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</si>
  <si>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</si>
  <si>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</si>
  <si>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</si>
  <si>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</si>
  <si>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</si>
  <si>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</si>
  <si>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</si>
  <si>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</si>
  <si>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</si>
  <si>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</si>
  <si>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</si>
  <si>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</si>
  <si>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</si>
  <si>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Finance</t>
  </si>
  <si>
    <t>F.1. Sales Growth</t>
  </si>
  <si>
    <t>MKT &amp; Sales</t>
  </si>
  <si>
    <t>Maximize</t>
  </si>
  <si>
    <t>Lock</t>
  </si>
  <si>
    <t>F.2. Profitable Growth</t>
  </si>
  <si>
    <t>All Dept</t>
  </si>
  <si>
    <t>F.3. Cost Effectiveness</t>
  </si>
  <si>
    <t>Minimize</t>
  </si>
  <si>
    <t>Interest Expenses</t>
  </si>
  <si>
    <t>Total Finance Perspective</t>
  </si>
  <si>
    <t>C.1. Customer Satisfaction</t>
  </si>
  <si>
    <t>Min to Zero</t>
  </si>
  <si>
    <t>C.2. Customer Loyalty</t>
  </si>
  <si>
    <t>C.3. Innovative Products</t>
  </si>
  <si>
    <t>Total Internal Process Perspective</t>
  </si>
  <si>
    <t>Internal Process</t>
  </si>
  <si>
    <t>I.1. Production Quality</t>
  </si>
  <si>
    <t>I.2. Productivity</t>
  </si>
  <si>
    <t>`</t>
  </si>
  <si>
    <t>I.4. Inventory Management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</si>
  <si>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</si>
  <si>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</si>
  <si>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</si>
  <si>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</si>
  <si>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</si>
  <si>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</si>
  <si>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</si>
  <si>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</si>
  <si>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</si>
  <si>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</si>
  <si>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</si>
  <si>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</si>
  <si>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</si>
  <si>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</si>
  <si>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</si>
  <si>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</si>
  <si>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</si>
  <si>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</si>
  <si>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</si>
  <si>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</si>
  <si>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</si>
  <si>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</si>
  <si>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</si>
  <si>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</si>
  <si>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</si>
  <si>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</si>
  <si>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</si>
  <si>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Agreed Performance Achievement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</si>
  <si>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</si>
  <si>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</si>
  <si>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</si>
  <si>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</si>
  <si>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</si>
  <si>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</si>
  <si>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</si>
  <si>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</si>
  <si>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</si>
  <si>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</si>
  <si>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</si>
  <si>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</si>
  <si>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Performance Review</t>
  </si>
  <si>
    <t>GA Expense</t>
  </si>
  <si>
    <t>Komplain Antar Dept</t>
  </si>
  <si>
    <t>Pemenuhan/Kepatuhan pada Peraturan Perundangan yang Berlaku</t>
  </si>
  <si>
    <t>Total sanksi/bulan</t>
  </si>
  <si>
    <t xml:space="preserve">Net Profit Before Tax 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</si>
  <si>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</si>
  <si>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</si>
  <si>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</si>
  <si>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</si>
  <si>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</si>
  <si>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</si>
  <si>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</si>
  <si>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Pencapaian Target Perusahaan sesuai Budget</t>
  </si>
  <si>
    <t>Optimalisasi sistem managemen ISO Integrasi</t>
  </si>
  <si>
    <t>Optimalisasi Program Digitalisasi</t>
  </si>
  <si>
    <t>PCH, HCGA</t>
  </si>
  <si>
    <t>FIACO &amp; PCH</t>
  </si>
  <si>
    <t>CMS</t>
  </si>
  <si>
    <t>FIACO</t>
  </si>
  <si>
    <t>HGCA</t>
  </si>
  <si>
    <t>IT</t>
  </si>
  <si>
    <t>PCH</t>
  </si>
  <si>
    <t>Dept</t>
  </si>
  <si>
    <t>Dir. ADM</t>
  </si>
  <si>
    <t>Data ada di FIACO</t>
  </si>
  <si>
    <t>data dari HCGA</t>
  </si>
  <si>
    <t>Total Customer  Perspective</t>
  </si>
  <si>
    <t>Total Customer Perspective</t>
  </si>
  <si>
    <t>Customer</t>
  </si>
  <si>
    <t>Internal Complain per Dept</t>
  </si>
  <si>
    <t>Produk hasil pengembangan tahun 2024 dapat diserap pasar</t>
  </si>
  <si>
    <t>F.5. Optimum Return</t>
  </si>
  <si>
    <t>Simplifikasi material &amp; Proses</t>
  </si>
  <si>
    <t>Penggunaan Material Ramah Lingkungan</t>
  </si>
  <si>
    <t>Inventory RM + WIP Unmoving</t>
  </si>
  <si>
    <t>Implementasi 5S &amp; K3</t>
  </si>
  <si>
    <t>Optimalisasi Aplikasi Sistem Management ISO Integrasi</t>
  </si>
  <si>
    <t>Pemenuhan /Kepatuhan pada Peraturan Perundangan yang Berlaku</t>
  </si>
  <si>
    <t>Optimalisasi Robotik</t>
  </si>
  <si>
    <t>SCM &amp; PRD</t>
  </si>
  <si>
    <t>QC, PRD</t>
  </si>
  <si>
    <t>RND, PRD, ENG, QC</t>
  </si>
  <si>
    <t>RND</t>
  </si>
  <si>
    <t>PRD, QC, SCM, ENG</t>
  </si>
  <si>
    <t>PRD, ENG,  SCM</t>
  </si>
  <si>
    <t>ENG, PRD</t>
  </si>
  <si>
    <t>SCM, PCH, PRD</t>
  </si>
  <si>
    <t>Selling Expenses dari Total Penjualan</t>
  </si>
  <si>
    <t xml:space="preserve">Interest Expenses </t>
  </si>
  <si>
    <t>Pengembangan produk sesuai permintaan</t>
  </si>
  <si>
    <t>Simplifikasi material dan proses</t>
  </si>
  <si>
    <t>Indeks kepuasan pelanggan per tahun</t>
  </si>
  <si>
    <t>Survey  kepuasan pelanggan per tahun</t>
  </si>
  <si>
    <t>I.3. Enviromental, Social, Governance</t>
  </si>
  <si>
    <t>Program Corporate Social Responsibility</t>
  </si>
  <si>
    <t>Total Inventory Single, Moving, Slow Moving</t>
  </si>
  <si>
    <t>Total Inventory Single, Unmoving</t>
  </si>
  <si>
    <t>Optimalisasi Aplikasi Sistem Managemen ISO Integrasi</t>
  </si>
  <si>
    <t>Pemenuhan/Kepatuhan pada Peraturan Perundangan yang berlaku</t>
  </si>
  <si>
    <t>MKT &amp; Sales, Busdev, E-Catalog, GlobSourch</t>
  </si>
  <si>
    <t xml:space="preserve">MKT &amp; Sales, Busdev, E-Catalog, GlobSourch, SCM, PRD, HCGA &amp; PCH </t>
  </si>
  <si>
    <t>FIACO, PCH, MKT &amp; Sales, Busdev, GlobSourch</t>
  </si>
  <si>
    <t>Adm. MKT &amp; Sales, MKT Sisdev, CMS</t>
  </si>
  <si>
    <t>MKT &amp; Sales, GlobSourch,
E-Catalog, Busdev,
QC, PRD</t>
  </si>
  <si>
    <t>MKT &amp; Sales, Busdev, GlobSourch</t>
  </si>
  <si>
    <t>RND, MKT &amp; Sales, Busdev, GlobSourch</t>
  </si>
  <si>
    <t>PRD, QC, ENG, SCM</t>
  </si>
  <si>
    <t>PRD, QC, SCM, RND</t>
  </si>
  <si>
    <t>PRD, ENG, HCGA, SCM</t>
  </si>
  <si>
    <t>HCGA</t>
  </si>
  <si>
    <t>MKT &amp; Sales, SCM, PCH, PRD</t>
  </si>
  <si>
    <t xml:space="preserve">% MTD </t>
  </si>
  <si>
    <t>Klaim/Bulan</t>
  </si>
  <si>
    <t>Internal Komplain/Dept</t>
  </si>
  <si>
    <t>Pengembangan Produk Sesuai Permintaan (2 minggu)</t>
  </si>
  <si>
    <t>Target (Days)</t>
  </si>
  <si>
    <t>Total Produk Permintaan (Qty)</t>
  </si>
  <si>
    <t>Target x Produk (Days)</t>
  </si>
  <si>
    <t>Total Produksi</t>
  </si>
  <si>
    <t>Total Produk Defect</t>
  </si>
  <si>
    <t>%</t>
  </si>
  <si>
    <t>Qty Produk Robotik</t>
  </si>
  <si>
    <t>Keterlibatan Kaizen/Bulan</t>
  </si>
  <si>
    <t>Qty</t>
  </si>
  <si>
    <t>Cari Master Data produk yang diproduksi secara robotik</t>
  </si>
  <si>
    <t>I.3.  Enviromental, Social, Governance</t>
  </si>
  <si>
    <t>Pengembangan Produk Sesuai Permintaan, Lead time 2 minggu</t>
  </si>
  <si>
    <t>Actual x Produk (Days)</t>
  </si>
  <si>
    <t>Average Days</t>
  </si>
  <si>
    <t>data dari Engineering</t>
  </si>
  <si>
    <t>MSD &amp; ENG</t>
  </si>
  <si>
    <t>Dir. Prod</t>
  </si>
  <si>
    <t>PROD</t>
  </si>
  <si>
    <t>Direktorat Produksi</t>
  </si>
  <si>
    <t>Direktorat Administarasi</t>
  </si>
  <si>
    <t>Kazuhiko Aminaka
Ade Arifin</t>
  </si>
  <si>
    <t>Susanto</t>
  </si>
  <si>
    <t>Total Sales Single/ Tahun</t>
  </si>
  <si>
    <t>Total Sales Konsol/ Tahun</t>
  </si>
  <si>
    <t>Komplain Produk/Bulan</t>
  </si>
  <si>
    <t>Internal Komplain per Dept/Bulan</t>
  </si>
  <si>
    <t>Total Inventory Finished Good-Single, Moving &amp; Unmoving</t>
  </si>
  <si>
    <t>Total Inventory Finished Good-Single, Unmoving</t>
  </si>
  <si>
    <t>MKT &amp; Sales, GlobSourch</t>
  </si>
  <si>
    <t>Total Sales Single/Tahun</t>
  </si>
  <si>
    <t>Total Sales Konsol/Tahun</t>
  </si>
  <si>
    <t>Dir. SLS &amp; MKT</t>
  </si>
  <si>
    <t>MKT E-Catalogue</t>
  </si>
  <si>
    <t>Sales MKT Adm</t>
  </si>
  <si>
    <t>MKT &amp; Sales, E-Catalog, GlobSourch</t>
  </si>
  <si>
    <t xml:space="preserve">MKT &amp; Sales, E-Catalog, GlobSourch </t>
  </si>
  <si>
    <t>Adm. MKT &amp; Sales</t>
  </si>
  <si>
    <t>MKT &amp; Sales, GlobSourch,
E-Catalog
QC, PRD</t>
  </si>
  <si>
    <t>MKT &amp; Sales, GlobSourch,
E-Catalog</t>
  </si>
  <si>
    <t>Total Inventory Finished Good-Single BusDev-Single</t>
  </si>
  <si>
    <t>Total Inventory Finished Good-Single, Slowmoving</t>
  </si>
  <si>
    <t>Total temuan/bulan</t>
  </si>
  <si>
    <t>MKT &amp; System Development</t>
  </si>
  <si>
    <t>Bussiness Development</t>
  </si>
  <si>
    <t>Dir. BusDev</t>
  </si>
  <si>
    <t>YTD</t>
  </si>
  <si>
    <t>Value</t>
  </si>
  <si>
    <t>Juta</t>
  </si>
  <si>
    <t>Actual %</t>
  </si>
  <si>
    <t>Dir Adm</t>
  </si>
  <si>
    <t>Dir MKT &amp; SLS</t>
  </si>
  <si>
    <t>Dir BusDev</t>
  </si>
  <si>
    <t>Dir Prod</t>
  </si>
  <si>
    <t>Corporate</t>
  </si>
  <si>
    <t>Total dari sales single</t>
  </si>
  <si>
    <t>Data dari Dir Adm.</t>
  </si>
  <si>
    <t>Data dari Dir Prod.</t>
  </si>
  <si>
    <t xml:space="preserve"> Program Digitalisasi</t>
  </si>
  <si>
    <t>Achievement</t>
  </si>
  <si>
    <t>Total Realisasi Program</t>
  </si>
  <si>
    <t>Percentage per Budget bulanan</t>
  </si>
  <si>
    <t>KPI/Strategic Measures</t>
  </si>
  <si>
    <t>Actual Average Days</t>
  </si>
  <si>
    <t>Net Profit Before Tax (In Billion)</t>
  </si>
  <si>
    <t>Gross Profit (In Billion)</t>
  </si>
  <si>
    <t>Sales Revenue Year to Date (In Billion)</t>
  </si>
  <si>
    <t>Expenses (In Billion)</t>
  </si>
  <si>
    <t xml:space="preserve">Kegagalan G2 </t>
  </si>
  <si>
    <t>Kapasitas Produksi in Average</t>
  </si>
  <si>
    <t xml:space="preserve"> </t>
  </si>
  <si>
    <t>Financial</t>
  </si>
  <si>
    <t>Sales Konsol</t>
  </si>
  <si>
    <t>Claim &amp; Complain</t>
  </si>
  <si>
    <t>% Ach</t>
  </si>
  <si>
    <t>R&amp;D</t>
  </si>
  <si>
    <t>Qty Produk</t>
  </si>
  <si>
    <t>Hasil Pengembangan produk eksisting</t>
  </si>
  <si>
    <t>Meja belajar Sonoma (Dragon), KUMI CD</t>
  </si>
  <si>
    <t>Manabu AH Knock Down</t>
  </si>
  <si>
    <t>Echool Art 03</t>
  </si>
  <si>
    <t>% Achievement MTD</t>
  </si>
  <si>
    <t>% Achievement YTD</t>
  </si>
  <si>
    <t>Hasil Simplifikasi Komponen, material maupun produk</t>
  </si>
  <si>
    <t>Simplikasi H/F Board Multy bed, satu pipa untuk 3 alternati H/F : Indomedix, bosay, BD003)</t>
  </si>
  <si>
    <t>Simplikasi dalam proses Packing, 1 Packing terdiri dari satu set meja dan 1 set kursi, memudahkan dalam pengiriman, meningkatkan Isi angkutan (Menuurunkan ongkir)</t>
  </si>
  <si>
    <t>Jumlah Kegagalan G2 Internal</t>
  </si>
  <si>
    <t>%  Achievement YTD</t>
  </si>
  <si>
    <t>Kapasitas Produksi Normal per Hari</t>
  </si>
  <si>
    <t>Kehadiran karyawan</t>
  </si>
  <si>
    <t>in Milyar Rupiah</t>
  </si>
  <si>
    <t>Total Inventory Un Moving</t>
  </si>
  <si>
    <t>Peningkatan kompetensi teknis</t>
  </si>
  <si>
    <t>Target Training</t>
  </si>
  <si>
    <t>Data dari HCGA</t>
  </si>
  <si>
    <t>Kepatuhan GCG dan Kode Etik</t>
  </si>
  <si>
    <t>Target ISO</t>
  </si>
  <si>
    <t>Target Temuan (Eksternal)</t>
  </si>
  <si>
    <t>Target Tepat Waktu (Internal - hari)</t>
  </si>
  <si>
    <t>Note</t>
  </si>
  <si>
    <t>Actual Temuan (Eksternal)</t>
  </si>
  <si>
    <t>Pencapaian Temuan Eksternal</t>
  </si>
  <si>
    <t>Actual Tepat Waktu  (Internal - hari)</t>
  </si>
  <si>
    <t>% Pencapaian Tepat Waktu</t>
  </si>
  <si>
    <t>OEE</t>
  </si>
  <si>
    <t>Actual Avaliability</t>
  </si>
  <si>
    <t>Actual Performance</t>
  </si>
  <si>
    <t>Actual Quality</t>
  </si>
  <si>
    <t>Actual OEE</t>
  </si>
  <si>
    <t>DASHBOARD ACHIEVEMENT BSC CORPORATE PT CHITOSE INTERNATIONAL TBK</t>
  </si>
  <si>
    <t>Satuan</t>
  </si>
  <si>
    <t>Milyard Rupiah</t>
  </si>
  <si>
    <t>Indeks</t>
  </si>
  <si>
    <t>Rupih</t>
  </si>
  <si>
    <t>Produk</t>
  </si>
  <si>
    <t>Complain</t>
  </si>
  <si>
    <t>Pcs</t>
  </si>
  <si>
    <t xml:space="preserve">Pencapaian Target Intensitas Energi </t>
  </si>
  <si>
    <t>(GJ/Pcs)</t>
  </si>
  <si>
    <t xml:space="preserve">Pencapaian Target Intensitas Emisi CO2 </t>
  </si>
  <si>
    <t>(ton CO2/Pcs)</t>
  </si>
  <si>
    <t xml:space="preserve">Pencapaian Target Intensitas Waste Water </t>
  </si>
  <si>
    <t>(M3/Pcs)</t>
  </si>
  <si>
    <t xml:space="preserve">Pencapaian Target Intensitas Solid Waste </t>
  </si>
  <si>
    <t>(ton/Pcs)</t>
  </si>
  <si>
    <t>Kaizen</t>
  </si>
  <si>
    <t>Temuan</t>
  </si>
  <si>
    <t>Sanksi</t>
  </si>
  <si>
    <t>Temuan &amp; Ketepatan</t>
  </si>
  <si>
    <t>CORPORATE BALANCE SCORE CARD CINT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</si>
</sst>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  <numFmt numFmtId="167" formatCode="_-* #,##0.00_-;\-* #,##0.00_-;_-* &quot;-&quot;??_-;_-@_-"/>
    <numFmt numFmtId="168" formatCode="0.000"/>
    <numFmt numFmtId="169" formatCode="&quot;&gt; &quot;0%"/>
    <numFmt numFmtId="170" formatCode="&quot;Max &quot;0%"/>
    <numFmt numFmtId="171" formatCode="&quot;&lt;= &quot;0%"/>
    <numFmt numFmtId="172" formatCode="&quot;&gt;= &quot;0%"/>
    <numFmt numFmtId="173" formatCode="&quot;&lt; &quot;0%"/>
    <numFmt numFmtId="174" formatCode="&quot;Finance - How should we look to our shareholders? (&quot;General&quot;%)&quot;"/>
    <numFmt numFmtId="175" formatCode="#,##0.000_);\(#,##0.000\)"/>
    <numFmt numFmtId="176" formatCode="&quot;Finance - How should we look to our shareholders? - &quot;0%"/>
    <numFmt numFmtId="177" formatCode="#,##0.0_);\(#,##0.0\)"/>
    <numFmt numFmtId="178" formatCode="0.0000"/>
    <numFmt numFmtId="179" formatCode="#,##0.00000_);\(#,##0.00000\)"/>
    <numFmt numFmtId="180" formatCode="&quot;Total Perspectives Weight - &quot;0%"/>
    <numFmt numFmtId="181" formatCode="0.00000"/>
    <numFmt numFmtId="182" formatCode="0.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</cellStyleXfs>
  <cellXfs count="576">
    <xf numFmtId="0" fontId="0" fillId="0" borderId="0" xfId="0"/>
    <xf numFmtId="9" fontId="0" fillId="0" borderId="0" xfId="2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165" fontId="0" fillId="0" borderId="1" xfId="2" applyNumberFormat="1" applyFont="1" applyBorder="1"/>
    <xf numFmtId="166" fontId="0" fillId="0" borderId="1" xfId="1" applyNumberFormat="1" applyFont="1" applyBorder="1"/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8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7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0" fontId="16" fillId="0" borderId="1" xfId="7" applyFont="1" applyBorder="1" applyAlignment="1">
      <alignment vertical="center" wrapText="1"/>
    </xf>
    <xf numFmtId="0" fontId="16" fillId="0" borderId="1" xfId="7" applyFont="1" applyBorder="1" applyAlignment="1">
      <alignment horizontal="center" vertical="center" wrapText="1"/>
    </xf>
    <xf numFmtId="169" fontId="17" fillId="5" borderId="1" xfId="7" applyNumberFormat="1" applyFont="1" applyFill="1" applyBorder="1" applyAlignment="1">
      <alignment horizontal="center" vertical="center"/>
    </xf>
    <xf numFmtId="170" fontId="17" fillId="5" borderId="1" xfId="7" applyNumberFormat="1" applyFont="1" applyFill="1" applyBorder="1" applyAlignment="1">
      <alignment horizontal="center" vertical="center"/>
    </xf>
    <xf numFmtId="169" fontId="17" fillId="6" borderId="1" xfId="7" applyNumberFormat="1" applyFont="1" applyFill="1" applyBorder="1" applyAlignment="1">
      <alignment horizontal="center" vertical="center"/>
    </xf>
    <xf numFmtId="171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5" fontId="16" fillId="0" borderId="1" xfId="7" applyNumberFormat="1" applyFont="1" applyBorder="1" applyAlignment="1">
      <alignment horizontal="left" vertical="center" wrapText="1"/>
    </xf>
    <xf numFmtId="172" fontId="17" fillId="7" borderId="1" xfId="7" applyNumberFormat="1" applyFont="1" applyFill="1" applyBorder="1" applyAlignment="1">
      <alignment horizontal="center" vertical="center"/>
    </xf>
    <xf numFmtId="171" fontId="17" fillId="7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3" fontId="16" fillId="8" borderId="1" xfId="7" applyNumberFormat="1" applyFont="1" applyFill="1" applyBorder="1" applyAlignment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173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4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175" fontId="14" fillId="0" borderId="19" xfId="7" applyNumberFormat="1" applyFont="1" applyBorder="1" applyAlignment="1">
      <alignment horizontal="center" vertical="center"/>
    </xf>
    <xf numFmtId="37" fontId="14" fillId="0" borderId="19" xfId="7" applyNumberFormat="1" applyFont="1" applyBorder="1" applyAlignment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4" fillId="0" borderId="0" xfId="8" applyNumberFormat="1" applyFont="1" applyAlignment="1" applyProtection="1">
      <alignment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1" xfId="7" applyFont="1" applyBorder="1" applyAlignment="1">
      <alignment horizontal="left" vertical="center"/>
    </xf>
    <xf numFmtId="0" fontId="14" fillId="0" borderId="22" xfId="7" applyFont="1" applyBorder="1" applyAlignment="1">
      <alignment horizontal="left" vertical="center" wrapText="1"/>
    </xf>
    <xf numFmtId="9" fontId="14" fillId="0" borderId="22" xfId="8" applyFont="1" applyBorder="1" applyAlignment="1" applyProtection="1">
      <alignment horizontal="center" vertical="center"/>
    </xf>
    <xf numFmtId="175" fontId="14" fillId="0" borderId="22" xfId="8" applyNumberFormat="1" applyFont="1" applyBorder="1" applyAlignment="1">
      <alignment horizontal="center" vertical="center"/>
    </xf>
    <xf numFmtId="168" fontId="14" fillId="0" borderId="22" xfId="7" applyNumberFormat="1" applyFont="1" applyBorder="1" applyAlignment="1">
      <alignment horizontal="center" vertical="center"/>
    </xf>
    <xf numFmtId="2" fontId="14" fillId="0" borderId="22" xfId="8" applyNumberFormat="1" applyFont="1" applyBorder="1" applyAlignment="1">
      <alignment horizontal="center" vertical="center"/>
    </xf>
    <xf numFmtId="165" fontId="14" fillId="0" borderId="23" xfId="8" applyNumberFormat="1" applyFont="1" applyBorder="1" applyAlignment="1" applyProtection="1">
      <alignment horizontal="center" vertical="center"/>
    </xf>
    <xf numFmtId="0" fontId="14" fillId="0" borderId="22" xfId="7" applyFont="1" applyBorder="1" applyAlignment="1">
      <alignment vertical="center"/>
    </xf>
    <xf numFmtId="175" fontId="14" fillId="0" borderId="22" xfId="7" applyNumberFormat="1" applyFont="1" applyBorder="1" applyAlignment="1">
      <alignment horizontal="center" vertical="center"/>
    </xf>
    <xf numFmtId="165" fontId="14" fillId="0" borderId="22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5" fontId="14" fillId="0" borderId="21" xfId="8" applyNumberFormat="1" applyFont="1" applyBorder="1" applyAlignment="1">
      <alignment horizontal="center" vertical="center"/>
    </xf>
    <xf numFmtId="175" fontId="14" fillId="0" borderId="21" xfId="7" applyNumberFormat="1" applyFont="1" applyBorder="1" applyAlignment="1">
      <alignment horizontal="center" vertical="center"/>
    </xf>
    <xf numFmtId="165" fontId="14" fillId="0" borderId="21" xfId="8" applyNumberFormat="1" applyFont="1" applyBorder="1" applyAlignment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165" fontId="14" fillId="0" borderId="24" xfId="8" applyNumberFormat="1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65" fontId="15" fillId="10" borderId="25" xfId="8" applyNumberFormat="1" applyFont="1" applyFill="1" applyBorder="1" applyAlignment="1" applyProtection="1">
      <alignment horizontal="center"/>
    </xf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2" xfId="7" applyNumberFormat="1" applyFont="1" applyBorder="1" applyAlignment="1">
      <alignment horizontal="center" vertical="center"/>
    </xf>
    <xf numFmtId="9" fontId="14" fillId="0" borderId="22" xfId="8" applyFont="1" applyBorder="1" applyAlignment="1">
      <alignment horizontal="center" vertical="center"/>
    </xf>
    <xf numFmtId="9" fontId="14" fillId="0" borderId="19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0" xfId="8" applyFont="1" applyFill="1" applyBorder="1" applyAlignment="1" applyProtection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65" fontId="15" fillId="11" borderId="25" xfId="8" applyNumberFormat="1" applyFont="1" applyFill="1" applyBorder="1" applyAlignment="1" applyProtection="1">
      <alignment horizontal="center" vertical="center"/>
    </xf>
    <xf numFmtId="165" fontId="14" fillId="0" borderId="19" xfId="7" applyNumberFormat="1" applyFont="1" applyBorder="1" applyAlignment="1">
      <alignment horizontal="center" vertical="center"/>
    </xf>
    <xf numFmtId="10" fontId="14" fillId="0" borderId="19" xfId="8" applyNumberFormat="1" applyFont="1" applyBorder="1" applyAlignment="1">
      <alignment horizontal="center" vertical="center"/>
    </xf>
    <xf numFmtId="37" fontId="14" fillId="0" borderId="22" xfId="7" applyNumberFormat="1" applyFont="1" applyBorder="1" applyAlignment="1">
      <alignment horizontal="center" vertical="center"/>
    </xf>
    <xf numFmtId="168" fontId="14" fillId="0" borderId="19" xfId="7" applyNumberFormat="1" applyFont="1" applyBorder="1" applyAlignment="1">
      <alignment horizontal="center" vertical="center"/>
    </xf>
    <xf numFmtId="9" fontId="14" fillId="0" borderId="22" xfId="8" applyFont="1" applyFill="1" applyBorder="1" applyAlignment="1">
      <alignment horizontal="center" vertical="center"/>
    </xf>
    <xf numFmtId="9" fontId="14" fillId="0" borderId="22" xfId="7" applyNumberFormat="1" applyFont="1" applyBorder="1" applyAlignment="1">
      <alignment horizontal="center" vertical="center"/>
    </xf>
    <xf numFmtId="178" fontId="14" fillId="0" borderId="19" xfId="7" applyNumberFormat="1" applyFont="1" applyBorder="1" applyAlignment="1">
      <alignment horizontal="center" vertical="center"/>
    </xf>
    <xf numFmtId="179" fontId="14" fillId="0" borderId="21" xfId="7" applyNumberFormat="1" applyFont="1" applyBorder="1" applyAlignment="1">
      <alignment horizontal="center" vertical="center"/>
    </xf>
    <xf numFmtId="177" fontId="14" fillId="0" borderId="21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165" fontId="15" fillId="12" borderId="25" xfId="8" applyNumberFormat="1" applyFont="1" applyFill="1" applyBorder="1" applyAlignment="1" applyProtection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65" fontId="14" fillId="0" borderId="22" xfId="7" applyNumberFormat="1" applyFont="1" applyBorder="1" applyAlignment="1">
      <alignment horizontal="center" vertical="center"/>
    </xf>
    <xf numFmtId="2" fontId="14" fillId="0" borderId="22" xfId="7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166" fontId="14" fillId="0" borderId="21" xfId="9" applyNumberFormat="1" applyFont="1" applyBorder="1" applyAlignment="1">
      <alignment horizontal="center" vertical="center"/>
    </xf>
    <xf numFmtId="9" fontId="15" fillId="13" borderId="3" xfId="8" applyFont="1" applyFill="1" applyBorder="1" applyAlignment="1" applyProtection="1">
      <alignment horizontal="center"/>
    </xf>
    <xf numFmtId="0" fontId="15" fillId="13" borderId="3" xfId="8" applyNumberFormat="1" applyFont="1" applyFill="1" applyBorder="1" applyAlignment="1" applyProtection="1"/>
    <xf numFmtId="165" fontId="15" fillId="13" borderId="2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vertical="center"/>
    </xf>
    <xf numFmtId="180" fontId="17" fillId="2" borderId="13" xfId="8" applyNumberFormat="1" applyFont="1" applyFill="1" applyBorder="1" applyAlignment="1" applyProtection="1">
      <alignment vertical="center"/>
    </xf>
    <xf numFmtId="9" fontId="17" fillId="2" borderId="28" xfId="8" applyFont="1" applyFill="1" applyBorder="1" applyAlignment="1" applyProtection="1">
      <alignment horizontal="center" vertical="center"/>
    </xf>
    <xf numFmtId="0" fontId="17" fillId="2" borderId="28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30" xfId="9" applyFont="1" applyBorder="1" applyAlignment="1" applyProtection="1"/>
    <xf numFmtId="43" fontId="15" fillId="0" borderId="30" xfId="9" applyFont="1" applyBorder="1" applyAlignment="1" applyProtection="1">
      <alignment horizontal="center"/>
    </xf>
    <xf numFmtId="9" fontId="15" fillId="0" borderId="30" xfId="8" applyFont="1" applyBorder="1" applyAlignment="1" applyProtection="1"/>
    <xf numFmtId="0" fontId="15" fillId="0" borderId="31" xfId="9" applyNumberFormat="1" applyFont="1" applyBorder="1" applyAlignment="1" applyProtection="1"/>
    <xf numFmtId="9" fontId="17" fillId="2" borderId="32" xfId="8" applyFont="1" applyFill="1" applyBorder="1" applyAlignment="1" applyProtection="1">
      <alignment horizontal="center" vertical="center"/>
    </xf>
    <xf numFmtId="0" fontId="17" fillId="2" borderId="32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8" xfId="7" applyFont="1" applyFill="1" applyBorder="1" applyAlignment="1">
      <alignment horizontal="center" vertical="center"/>
    </xf>
    <xf numFmtId="0" fontId="17" fillId="2" borderId="32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/>
    </xf>
    <xf numFmtId="2" fontId="14" fillId="0" borderId="34" xfId="7" applyNumberFormat="1" applyFont="1" applyBorder="1" applyAlignment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0" fontId="14" fillId="0" borderId="36" xfId="7" applyFont="1" applyBorder="1" applyAlignment="1">
      <alignment vertical="top" wrapText="1"/>
    </xf>
    <xf numFmtId="0" fontId="14" fillId="0" borderId="37" xfId="7" applyFont="1" applyBorder="1" applyAlignment="1">
      <alignment vertical="top" wrapText="1"/>
    </xf>
    <xf numFmtId="9" fontId="14" fillId="0" borderId="37" xfId="8" applyFont="1" applyBorder="1" applyAlignment="1" applyProtection="1">
      <alignment horizontal="left" vertical="top"/>
    </xf>
    <xf numFmtId="9" fontId="14" fillId="0" borderId="37" xfId="7" applyNumberFormat="1" applyFont="1" applyBorder="1" applyAlignment="1">
      <alignment horizontal="center" vertical="top"/>
    </xf>
    <xf numFmtId="9" fontId="14" fillId="3" borderId="37" xfId="7" applyNumberFormat="1" applyFont="1" applyFill="1" applyBorder="1" applyAlignment="1">
      <alignment horizontal="center" vertical="top"/>
    </xf>
    <xf numFmtId="9" fontId="15" fillId="0" borderId="37" xfId="8" applyFont="1" applyBorder="1" applyAlignment="1" applyProtection="1">
      <alignment horizontal="center" vertical="center"/>
    </xf>
    <xf numFmtId="165" fontId="14" fillId="14" borderId="38" xfId="8" applyNumberFormat="1" applyFont="1" applyFill="1" applyBorder="1" applyAlignment="1" applyProtection="1">
      <alignment horizontal="center" vertical="center"/>
    </xf>
    <xf numFmtId="0" fontId="14" fillId="0" borderId="39" xfId="7" applyFont="1" applyBorder="1" applyAlignment="1">
      <alignment vertical="top" wrapText="1"/>
    </xf>
    <xf numFmtId="0" fontId="14" fillId="0" borderId="40" xfId="7" applyFont="1" applyBorder="1" applyAlignment="1">
      <alignment vertical="top" wrapText="1"/>
    </xf>
    <xf numFmtId="9" fontId="14" fillId="0" borderId="40" xfId="8" applyFont="1" applyBorder="1" applyAlignment="1" applyProtection="1">
      <alignment horizontal="left" vertical="top" wrapText="1"/>
    </xf>
    <xf numFmtId="9" fontId="14" fillId="0" borderId="40" xfId="9" applyNumberFormat="1" applyFont="1" applyBorder="1" applyAlignment="1" applyProtection="1">
      <alignment horizontal="center" vertical="top"/>
    </xf>
    <xf numFmtId="9" fontId="14" fillId="3" borderId="40" xfId="7" applyNumberFormat="1" applyFont="1" applyFill="1" applyBorder="1" applyAlignment="1">
      <alignment horizontal="center" vertical="top"/>
    </xf>
    <xf numFmtId="9" fontId="15" fillId="0" borderId="40" xfId="8" applyFont="1" applyBorder="1" applyAlignment="1" applyProtection="1">
      <alignment horizontal="center" vertical="center"/>
    </xf>
    <xf numFmtId="165" fontId="14" fillId="14" borderId="41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30" xfId="8" applyFont="1" applyFill="1" applyBorder="1" applyAlignment="1" applyProtection="1">
      <alignment horizontal="center"/>
    </xf>
    <xf numFmtId="9" fontId="18" fillId="2" borderId="31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42" xfId="8" applyFont="1" applyFill="1" applyBorder="1" applyAlignment="1" applyProtection="1">
      <alignment horizontal="center"/>
    </xf>
    <xf numFmtId="9" fontId="18" fillId="2" borderId="43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6" xfId="7" applyFont="1" applyBorder="1" applyAlignment="1">
      <alignment horizontal="center" vertical="center"/>
    </xf>
    <xf numFmtId="4" fontId="22" fillId="15" borderId="32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42" xfId="7" applyFont="1" applyBorder="1" applyAlignment="1">
      <alignment vertical="center" wrapText="1"/>
    </xf>
    <xf numFmtId="0" fontId="22" fillId="0" borderId="42" xfId="7" applyFont="1" applyBorder="1"/>
    <xf numFmtId="0" fontId="15" fillId="0" borderId="28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17" fillId="2" borderId="44" xfId="7" applyFont="1" applyFill="1" applyBorder="1" applyAlignment="1">
      <alignment horizontal="center" vertical="center"/>
    </xf>
    <xf numFmtId="0" fontId="15" fillId="3" borderId="46" xfId="7" applyFont="1" applyFill="1" applyBorder="1" applyAlignment="1">
      <alignment vertical="center"/>
    </xf>
    <xf numFmtId="0" fontId="15" fillId="3" borderId="10" xfId="7" applyFont="1" applyFill="1" applyBorder="1" applyAlignment="1">
      <alignment vertical="center"/>
    </xf>
    <xf numFmtId="0" fontId="15" fillId="3" borderId="49" xfId="7" applyFont="1" applyFill="1" applyBorder="1" applyAlignment="1">
      <alignment vertical="center"/>
    </xf>
    <xf numFmtId="0" fontId="15" fillId="3" borderId="11" xfId="7" applyFont="1" applyFill="1" applyBorder="1" applyAlignment="1">
      <alignment vertical="center"/>
    </xf>
    <xf numFmtId="0" fontId="24" fillId="0" borderId="3" xfId="7" applyFont="1" applyBorder="1" applyAlignment="1">
      <alignment horizontal="center"/>
    </xf>
    <xf numFmtId="0" fontId="24" fillId="0" borderId="0" xfId="7" applyFont="1" applyAlignment="1">
      <alignment horizontal="center"/>
    </xf>
    <xf numFmtId="0" fontId="24" fillId="0" borderId="42" xfId="7" applyFont="1" applyBorder="1" applyAlignment="1">
      <alignment horizontal="center"/>
    </xf>
    <xf numFmtId="0" fontId="22" fillId="0" borderId="18" xfId="7" applyFont="1" applyBorder="1" applyAlignment="1">
      <alignment vertical="center"/>
    </xf>
    <xf numFmtId="0" fontId="22" fillId="0" borderId="62" xfId="7" applyFont="1" applyBorder="1" applyAlignment="1">
      <alignment horizontal="left" vertical="center"/>
    </xf>
    <xf numFmtId="0" fontId="22" fillId="0" borderId="60" xfId="7" applyFont="1" applyBorder="1" applyAlignment="1">
      <alignment vertical="center"/>
    </xf>
    <xf numFmtId="0" fontId="22" fillId="0" borderId="42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2" fontId="17" fillId="0" borderId="0" xfId="8" applyNumberFormat="1" applyFont="1" applyFill="1" applyBorder="1" applyAlignment="1" applyProtection="1">
      <alignment horizontal="center" vertical="center"/>
    </xf>
    <xf numFmtId="173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10" fontId="14" fillId="0" borderId="19" xfId="7" applyNumberFormat="1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6" fillId="0" borderId="1" xfId="7" applyFont="1" applyBorder="1" applyAlignment="1">
      <alignment vertical="center"/>
    </xf>
    <xf numFmtId="0" fontId="14" fillId="0" borderId="0" xfId="7" applyFont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" fontId="14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14" fillId="0" borderId="22" xfId="2" applyFont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165" fontId="14" fillId="0" borderId="21" xfId="2" applyNumberFormat="1" applyFont="1" applyBorder="1" applyAlignment="1">
      <alignment horizontal="center" vertical="center"/>
    </xf>
    <xf numFmtId="181" fontId="14" fillId="0" borderId="19" xfId="7" applyNumberFormat="1" applyFont="1" applyBorder="1" applyAlignment="1">
      <alignment horizontal="center" vertical="center"/>
    </xf>
    <xf numFmtId="182" fontId="14" fillId="0" borderId="19" xfId="7" applyNumberFormat="1" applyFont="1" applyBorder="1" applyAlignment="1">
      <alignment horizontal="center" vertical="center"/>
    </xf>
    <xf numFmtId="2" fontId="14" fillId="0" borderId="19" xfId="7" applyNumberFormat="1" applyFont="1" applyBorder="1" applyAlignment="1">
      <alignment horizontal="center" vertical="center"/>
    </xf>
    <xf numFmtId="168" fontId="0" fillId="0" borderId="1" xfId="0" applyNumberFormat="1" applyBorder="1"/>
    <xf numFmtId="10" fontId="0" fillId="0" borderId="1" xfId="2" applyNumberFormat="1" applyFont="1" applyBorder="1"/>
    <xf numFmtId="2" fontId="14" fillId="0" borderId="21" xfId="7" applyNumberFormat="1" applyFont="1" applyBorder="1" applyAlignment="1">
      <alignment horizontal="center" vertical="center"/>
    </xf>
    <xf numFmtId="9" fontId="0" fillId="0" borderId="1" xfId="0" applyNumberFormat="1" applyBorder="1"/>
    <xf numFmtId="9" fontId="2" fillId="2" borderId="1" xfId="0" applyNumberFormat="1" applyFont="1" applyFill="1" applyBorder="1"/>
    <xf numFmtId="2" fontId="2" fillId="2" borderId="1" xfId="0" applyNumberFormat="1" applyFont="1" applyFill="1" applyBorder="1"/>
    <xf numFmtId="43" fontId="0" fillId="0" borderId="1" xfId="1" applyFont="1" applyBorder="1"/>
    <xf numFmtId="0" fontId="2" fillId="2" borderId="8" xfId="0" applyFont="1" applyFill="1" applyBorder="1"/>
    <xf numFmtId="1" fontId="14" fillId="0" borderId="19" xfId="2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6" fontId="0" fillId="0" borderId="0" xfId="2" applyNumberFormat="1" applyFont="1" applyFill="1" applyBorder="1"/>
    <xf numFmtId="0" fontId="2" fillId="2" borderId="55" xfId="0" applyFont="1" applyFill="1" applyBorder="1" applyAlignment="1">
      <alignment wrapText="1"/>
    </xf>
    <xf numFmtId="9" fontId="2" fillId="2" borderId="1" xfId="2" applyFont="1" applyFill="1" applyBorder="1"/>
    <xf numFmtId="43" fontId="2" fillId="2" borderId="1" xfId="1" applyFont="1" applyFill="1" applyBorder="1"/>
    <xf numFmtId="166" fontId="27" fillId="0" borderId="1" xfId="1" applyNumberFormat="1" applyFont="1" applyFill="1" applyBorder="1" applyAlignment="1">
      <alignment vertical="center"/>
    </xf>
    <xf numFmtId="166" fontId="2" fillId="2" borderId="1" xfId="1" applyNumberFormat="1" applyFont="1" applyFill="1" applyBorder="1"/>
    <xf numFmtId="9" fontId="2" fillId="0" borderId="0" xfId="2" applyFont="1" applyFill="1" applyBorder="1"/>
    <xf numFmtId="165" fontId="14" fillId="0" borderId="22" xfId="2" applyNumberFormat="1" applyFont="1" applyBorder="1" applyAlignment="1">
      <alignment horizontal="center" vertical="center"/>
    </xf>
    <xf numFmtId="43" fontId="2" fillId="0" borderId="0" xfId="1" applyFont="1" applyFill="1" applyBorder="1"/>
    <xf numFmtId="9" fontId="0" fillId="0" borderId="0" xfId="2" applyFont="1" applyFill="1"/>
    <xf numFmtId="0" fontId="14" fillId="0" borderId="70" xfId="7" applyFont="1" applyBorder="1" applyAlignment="1">
      <alignment horizontal="left" vertical="center"/>
    </xf>
    <xf numFmtId="9" fontId="2" fillId="2" borderId="1" xfId="1" applyNumberFormat="1" applyFont="1" applyFill="1" applyBorder="1"/>
    <xf numFmtId="9" fontId="0" fillId="0" borderId="1" xfId="1" applyNumberFormat="1" applyFont="1" applyBorder="1"/>
    <xf numFmtId="37" fontId="14" fillId="0" borderId="21" xfId="7" applyNumberFormat="1" applyFont="1" applyBorder="1" applyAlignment="1">
      <alignment horizontal="center" vertical="center"/>
    </xf>
    <xf numFmtId="9" fontId="2" fillId="0" borderId="0" xfId="1" applyNumberFormat="1" applyFont="1" applyFill="1" applyBorder="1"/>
    <xf numFmtId="0" fontId="2" fillId="2" borderId="55" xfId="0" applyFont="1" applyFill="1" applyBorder="1"/>
    <xf numFmtId="2" fontId="0" fillId="0" borderId="0" xfId="0" applyNumberFormat="1"/>
    <xf numFmtId="0" fontId="2" fillId="2" borderId="5" xfId="0" applyFont="1" applyFill="1" applyBorder="1"/>
    <xf numFmtId="43" fontId="0" fillId="0" borderId="1" xfId="0" applyNumberFormat="1" applyBorder="1"/>
    <xf numFmtId="0" fontId="0" fillId="16" borderId="0" xfId="0" applyFill="1"/>
    <xf numFmtId="166" fontId="0" fillId="0" borderId="1" xfId="0" applyNumberFormat="1" applyBorder="1"/>
    <xf numFmtId="9" fontId="0" fillId="0" borderId="0" xfId="0" applyNumberFormat="1"/>
    <xf numFmtId="165" fontId="0" fillId="0" borderId="0" xfId="2" applyNumberFormat="1" applyFont="1"/>
    <xf numFmtId="10" fontId="0" fillId="0" borderId="0" xfId="2" applyNumberFormat="1" applyFont="1"/>
    <xf numFmtId="166" fontId="27" fillId="0" borderId="1" xfId="1" applyNumberFormat="1" applyFont="1" applyBorder="1"/>
    <xf numFmtId="0" fontId="2" fillId="2" borderId="5" xfId="0" applyFont="1" applyFill="1" applyBorder="1" applyAlignment="1">
      <alignment vertical="center"/>
    </xf>
    <xf numFmtId="43" fontId="0" fillId="0" borderId="0" xfId="0" applyNumberFormat="1"/>
    <xf numFmtId="43" fontId="0" fillId="0" borderId="0" xfId="1" applyFont="1"/>
    <xf numFmtId="165" fontId="14" fillId="0" borderId="19" xfId="8" applyNumberFormat="1" applyFont="1" applyBorder="1" applyAlignment="1">
      <alignment horizontal="center" vertical="center"/>
    </xf>
    <xf numFmtId="2" fontId="14" fillId="0" borderId="22" xfId="1" applyNumberFormat="1" applyFont="1" applyBorder="1" applyAlignment="1">
      <alignment horizontal="center" vertical="center"/>
    </xf>
    <xf numFmtId="166" fontId="0" fillId="18" borderId="1" xfId="1" applyNumberFormat="1" applyFont="1" applyFill="1" applyBorder="1"/>
    <xf numFmtId="9" fontId="0" fillId="18" borderId="1" xfId="2" applyFont="1" applyFill="1" applyBorder="1"/>
    <xf numFmtId="168" fontId="14" fillId="0" borderId="21" xfId="8" applyNumberFormat="1" applyFont="1" applyBorder="1" applyAlignment="1">
      <alignment horizontal="center" vertical="center"/>
    </xf>
    <xf numFmtId="2" fontId="14" fillId="0" borderId="22" xfId="8" applyNumberFormat="1" applyFont="1" applyFill="1" applyBorder="1" applyAlignment="1">
      <alignment horizontal="center" vertical="center"/>
    </xf>
    <xf numFmtId="2" fontId="14" fillId="0" borderId="21" xfId="9" applyNumberFormat="1" applyFont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9" fontId="14" fillId="0" borderId="34" xfId="8" applyFont="1" applyBorder="1" applyAlignment="1" applyProtection="1">
      <alignment horizontal="center" vertical="center" wrapText="1"/>
    </xf>
    <xf numFmtId="0" fontId="14" fillId="0" borderId="33" xfId="7" applyFont="1" applyBorder="1" applyAlignment="1">
      <alignment vertical="center" wrapText="1"/>
    </xf>
    <xf numFmtId="0" fontId="14" fillId="0" borderId="34" xfId="7" applyFont="1" applyBorder="1" applyAlignment="1">
      <alignment vertical="center" wrapText="1"/>
    </xf>
    <xf numFmtId="9" fontId="14" fillId="0" borderId="34" xfId="8" applyFont="1" applyBorder="1" applyAlignment="1" applyProtection="1">
      <alignment horizontal="left" vertical="center"/>
    </xf>
    <xf numFmtId="2" fontId="14" fillId="0" borderId="34" xfId="7" applyNumberFormat="1" applyFont="1" applyBorder="1" applyAlignment="1">
      <alignment horizontal="center" vertical="center"/>
    </xf>
    <xf numFmtId="174" fontId="14" fillId="0" borderId="74" xfId="7" applyNumberFormat="1" applyFont="1" applyBorder="1" applyAlignment="1">
      <alignment horizontal="center" vertical="center"/>
    </xf>
    <xf numFmtId="174" fontId="14" fillId="0" borderId="34" xfId="7" applyNumberFormat="1" applyFont="1" applyBorder="1" applyAlignment="1">
      <alignment horizontal="center" vertical="center"/>
    </xf>
    <xf numFmtId="174" fontId="14" fillId="0" borderId="59" xfId="7" applyNumberFormat="1" applyFont="1" applyBorder="1" applyAlignment="1">
      <alignment horizontal="center" vertical="center"/>
    </xf>
    <xf numFmtId="2" fontId="14" fillId="3" borderId="34" xfId="7" applyNumberFormat="1" applyFont="1" applyFill="1" applyBorder="1" applyAlignment="1">
      <alignment horizontal="center" vertical="center"/>
    </xf>
    <xf numFmtId="9" fontId="14" fillId="0" borderId="34" xfId="8" applyFont="1" applyBorder="1" applyAlignment="1" applyProtection="1">
      <alignment horizontal="center" vertical="center"/>
    </xf>
    <xf numFmtId="174" fontId="14" fillId="0" borderId="75" xfId="7" applyNumberFormat="1" applyFont="1" applyBorder="1" applyAlignment="1">
      <alignment horizontal="center" vertical="center"/>
    </xf>
    <xf numFmtId="2" fontId="14" fillId="0" borderId="30" xfId="9" applyNumberFormat="1" applyFont="1" applyBorder="1" applyAlignment="1">
      <alignment horizontal="center" vertical="center"/>
    </xf>
    <xf numFmtId="174" fontId="14" fillId="0" borderId="42" xfId="7" applyNumberFormat="1" applyFont="1" applyBorder="1" applyAlignment="1">
      <alignment horizontal="center" vertical="center"/>
    </xf>
    <xf numFmtId="4" fontId="23" fillId="0" borderId="76" xfId="7" applyNumberFormat="1" applyFont="1" applyBorder="1" applyAlignment="1">
      <alignment horizontal="center" vertical="center"/>
    </xf>
    <xf numFmtId="4" fontId="23" fillId="0" borderId="49" xfId="7" applyNumberFormat="1" applyFont="1" applyBorder="1" applyAlignment="1">
      <alignment horizontal="center" vertical="center"/>
    </xf>
    <xf numFmtId="4" fontId="23" fillId="0" borderId="77" xfId="7" applyNumberFormat="1" applyFont="1" applyBorder="1" applyAlignment="1">
      <alignment horizontal="center" vertical="center"/>
    </xf>
    <xf numFmtId="4" fontId="22" fillId="15" borderId="17" xfId="7" applyNumberFormat="1" applyFont="1" applyFill="1" applyBorder="1" applyAlignment="1">
      <alignment horizontal="center" vertical="top"/>
    </xf>
    <xf numFmtId="0" fontId="15" fillId="0" borderId="79" xfId="7" applyFont="1" applyBorder="1" applyAlignment="1">
      <alignment horizontal="center" vertical="center"/>
    </xf>
    <xf numFmtId="0" fontId="15" fillId="0" borderId="66" xfId="7" applyFont="1" applyBorder="1" applyAlignment="1">
      <alignment horizontal="center" vertical="center"/>
    </xf>
    <xf numFmtId="0" fontId="15" fillId="0" borderId="81" xfId="7" applyFont="1" applyBorder="1" applyAlignment="1">
      <alignment horizontal="center" vertical="center"/>
    </xf>
    <xf numFmtId="0" fontId="15" fillId="3" borderId="46" xfId="7" applyFont="1" applyFill="1" applyBorder="1" applyAlignment="1">
      <alignment horizontal="center" vertical="center"/>
    </xf>
    <xf numFmtId="0" fontId="15" fillId="3" borderId="10" xfId="7" applyFont="1" applyFill="1" applyBorder="1" applyAlignment="1">
      <alignment horizontal="center" vertical="center"/>
    </xf>
    <xf numFmtId="0" fontId="15" fillId="3" borderId="49" xfId="7" applyFont="1" applyFill="1" applyBorder="1" applyAlignment="1">
      <alignment horizontal="center" vertical="center"/>
    </xf>
    <xf numFmtId="165" fontId="14" fillId="0" borderId="0" xfId="8" applyNumberFormat="1" applyFont="1" applyAlignment="1" applyProtection="1">
      <alignment horizontal="center"/>
    </xf>
    <xf numFmtId="0" fontId="0" fillId="3" borderId="0" xfId="0" applyFill="1"/>
    <xf numFmtId="0" fontId="16" fillId="0" borderId="1" xfId="7" applyFont="1" applyBorder="1" applyAlignment="1">
      <alignment horizontal="left" vertical="center" wrapText="1"/>
    </xf>
    <xf numFmtId="43" fontId="0" fillId="0" borderId="1" xfId="1" applyFont="1" applyFill="1" applyBorder="1"/>
    <xf numFmtId="0" fontId="2" fillId="0" borderId="8" xfId="0" applyFont="1" applyBorder="1"/>
    <xf numFmtId="166" fontId="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" xfId="1" applyNumberFormat="1" applyFont="1" applyBorder="1"/>
    <xf numFmtId="43" fontId="0" fillId="8" borderId="1" xfId="1" applyFont="1" applyFill="1" applyBorder="1"/>
    <xf numFmtId="166" fontId="0" fillId="0" borderId="1" xfId="1" applyNumberFormat="1" applyFont="1" applyFill="1" applyBorder="1"/>
    <xf numFmtId="37" fontId="14" fillId="0" borderId="22" xfId="8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15" fillId="8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9" fontId="0" fillId="8" borderId="1" xfId="2" applyFont="1" applyFill="1" applyBorder="1"/>
    <xf numFmtId="0" fontId="0" fillId="0" borderId="1" xfId="0" applyBorder="1" applyAlignment="1">
      <alignment vertical="center"/>
    </xf>
    <xf numFmtId="9" fontId="0" fillId="0" borderId="1" xfId="2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1" fontId="0" fillId="0" borderId="1" xfId="1" applyNumberFormat="1" applyFont="1" applyBorder="1"/>
    <xf numFmtId="9" fontId="1" fillId="0" borderId="1" xfId="2" applyFont="1" applyFill="1" applyBorder="1"/>
    <xf numFmtId="1" fontId="0" fillId="8" borderId="1" xfId="1" applyNumberFormat="1" applyFont="1" applyFill="1" applyBorder="1"/>
    <xf numFmtId="166" fontId="0" fillId="8" borderId="1" xfId="1" applyNumberFormat="1" applyFont="1" applyFill="1" applyBorder="1"/>
    <xf numFmtId="1" fontId="0" fillId="8" borderId="1" xfId="2" applyNumberFormat="1" applyFont="1" applyFill="1" applyBorder="1"/>
    <xf numFmtId="9" fontId="0" fillId="8" borderId="1" xfId="1" applyNumberFormat="1" applyFont="1" applyFill="1" applyBorder="1"/>
    <xf numFmtId="9" fontId="0" fillId="0" borderId="1" xfId="2" applyFont="1" applyFill="1" applyBorder="1"/>
    <xf numFmtId="9" fontId="0" fillId="14" borderId="1" xfId="2" applyFont="1" applyFill="1" applyBorder="1"/>
    <xf numFmtId="10" fontId="14" fillId="0" borderId="21" xfId="2" applyNumberFormat="1" applyFont="1" applyBorder="1" applyAlignment="1">
      <alignment horizontal="center" vertical="center"/>
    </xf>
    <xf numFmtId="9" fontId="14" fillId="0" borderId="21" xfId="8" applyFont="1" applyBorder="1" applyAlignment="1" applyProtection="1">
      <alignment horizontal="center" vertical="center" wrapText="1"/>
    </xf>
    <xf numFmtId="9" fontId="0" fillId="8" borderId="1" xfId="2" applyFont="1" applyFill="1" applyBorder="1" applyAlignment="1">
      <alignment vertical="center"/>
    </xf>
    <xf numFmtId="10" fontId="0" fillId="8" borderId="1" xfId="2" applyNumberFormat="1" applyFont="1" applyFill="1" applyBorder="1" applyAlignment="1">
      <alignment vertical="center"/>
    </xf>
    <xf numFmtId="9" fontId="0" fillId="0" borderId="1" xfId="2" applyFont="1" applyBorder="1" applyAlignment="1">
      <alignment horizontal="right" vertical="center"/>
    </xf>
    <xf numFmtId="9" fontId="0" fillId="0" borderId="1" xfId="2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/>
    </xf>
    <xf numFmtId="0" fontId="29" fillId="17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0" fillId="17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6" fillId="4" borderId="2" xfId="7" applyFont="1" applyFill="1" applyBorder="1" applyAlignment="1">
      <alignment horizontal="center" vertical="center" wrapText="1"/>
    </xf>
    <xf numFmtId="0" fontId="16" fillId="4" borderId="4" xfId="7" applyFont="1" applyFill="1" applyBorder="1" applyAlignment="1">
      <alignment horizontal="center" vertical="center" wrapText="1"/>
    </xf>
    <xf numFmtId="0" fontId="16" fillId="4" borderId="7" xfId="7" applyFont="1" applyFill="1" applyBorder="1" applyAlignment="1">
      <alignment horizontal="center" vertical="center" wrapText="1"/>
    </xf>
    <xf numFmtId="0" fontId="16" fillId="4" borderId="9" xfId="7" applyFont="1" applyFill="1" applyBorder="1" applyAlignment="1">
      <alignment horizontal="center" vertical="center" wrapText="1"/>
    </xf>
    <xf numFmtId="0" fontId="19" fillId="4" borderId="2" xfId="7" applyFont="1" applyFill="1" applyBorder="1" applyAlignment="1">
      <alignment horizontal="center" vertical="center" wrapText="1"/>
    </xf>
    <xf numFmtId="0" fontId="19" fillId="4" borderId="4" xfId="7" applyFont="1" applyFill="1" applyBorder="1" applyAlignment="1">
      <alignment horizontal="center" vertical="center" wrapText="1"/>
    </xf>
    <xf numFmtId="0" fontId="19" fillId="4" borderId="5" xfId="7" applyFont="1" applyFill="1" applyBorder="1" applyAlignment="1">
      <alignment horizontal="center" vertical="center" wrapText="1"/>
    </xf>
    <xf numFmtId="0" fontId="19" fillId="4" borderId="6" xfId="7" applyFont="1" applyFill="1" applyBorder="1" applyAlignment="1">
      <alignment horizontal="center" vertical="center" wrapText="1"/>
    </xf>
    <xf numFmtId="0" fontId="19" fillId="4" borderId="7" xfId="7" applyFont="1" applyFill="1" applyBorder="1" applyAlignment="1">
      <alignment horizontal="center" vertical="center" wrapText="1"/>
    </xf>
    <xf numFmtId="0" fontId="19" fillId="4" borderId="9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15" fillId="3" borderId="1" xfId="7" applyFont="1" applyFill="1" applyBorder="1" applyAlignment="1">
      <alignment horizontal="center" vertical="center"/>
    </xf>
    <xf numFmtId="0" fontId="24" fillId="0" borderId="5" xfId="7" applyFont="1" applyBorder="1" applyAlignment="1">
      <alignment horizontal="center"/>
    </xf>
    <xf numFmtId="0" fontId="24" fillId="0" borderId="0" xfId="7" applyFont="1" applyAlignment="1">
      <alignment horizontal="center"/>
    </xf>
    <xf numFmtId="0" fontId="24" fillId="0" borderId="57" xfId="7" applyFont="1" applyBorder="1" applyAlignment="1">
      <alignment horizontal="center"/>
    </xf>
    <xf numFmtId="0" fontId="22" fillId="0" borderId="28" xfId="7" applyFont="1" applyBorder="1" applyAlignment="1">
      <alignment horizontal="left" vertical="center"/>
    </xf>
    <xf numFmtId="0" fontId="22" fillId="0" borderId="29" xfId="7" applyFont="1" applyBorder="1" applyAlignment="1">
      <alignment horizontal="left" vertical="center"/>
    </xf>
    <xf numFmtId="0" fontId="15" fillId="0" borderId="0" xfId="7" applyFont="1"/>
    <xf numFmtId="0" fontId="16" fillId="0" borderId="1" xfId="7" applyFont="1" applyBorder="1" applyAlignment="1">
      <alignment horizontal="center"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9" fontId="19" fillId="0" borderId="1" xfId="8" applyFont="1" applyFill="1" applyBorder="1" applyAlignment="1" applyProtection="1">
      <alignment horizontal="center" vertical="center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9" fillId="0" borderId="10" xfId="7" applyNumberFormat="1" applyFont="1" applyBorder="1" applyAlignment="1">
      <alignment horizontal="center" vertical="center" wrapText="1"/>
    </xf>
    <xf numFmtId="9" fontId="19" fillId="0" borderId="11" xfId="7" applyNumberFormat="1" applyFont="1" applyBorder="1" applyAlignment="1">
      <alignment horizontal="center" vertical="center" wrapText="1"/>
    </xf>
    <xf numFmtId="9" fontId="19" fillId="0" borderId="12" xfId="7" applyNumberFormat="1" applyFont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174" fontId="15" fillId="10" borderId="65" xfId="7" applyNumberFormat="1" applyFont="1" applyFill="1" applyBorder="1" applyAlignment="1">
      <alignment horizontal="center" vertical="center" wrapText="1"/>
    </xf>
    <xf numFmtId="174" fontId="15" fillId="10" borderId="66" xfId="7" applyNumberFormat="1" applyFont="1" applyFill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6" fontId="15" fillId="10" borderId="11" xfId="8" applyNumberFormat="1" applyFont="1" applyFill="1" applyBorder="1" applyAlignment="1" applyProtection="1">
      <alignment horizontal="center"/>
    </xf>
    <xf numFmtId="174" fontId="15" fillId="11" borderId="66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6" fontId="15" fillId="11" borderId="11" xfId="8" applyNumberFormat="1" applyFont="1" applyFill="1" applyBorder="1" applyAlignment="1" applyProtection="1">
      <alignment horizontal="center"/>
    </xf>
    <xf numFmtId="0" fontId="14" fillId="0" borderId="67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4" fillId="0" borderId="7" xfId="7" applyFont="1" applyBorder="1" applyAlignment="1">
      <alignment horizontal="left" vertical="center"/>
    </xf>
    <xf numFmtId="174" fontId="15" fillId="13" borderId="66" xfId="7" applyNumberFormat="1" applyFont="1" applyFill="1" applyBorder="1" applyAlignment="1">
      <alignment horizontal="center" vertical="center" wrapText="1"/>
    </xf>
    <xf numFmtId="174" fontId="15" fillId="13" borderId="50" xfId="7" applyNumberFormat="1" applyFont="1" applyFill="1" applyBorder="1" applyAlignment="1">
      <alignment horizontal="center" vertical="center" wrapText="1"/>
    </xf>
    <xf numFmtId="176" fontId="15" fillId="13" borderId="3" xfId="8" applyNumberFormat="1" applyFont="1" applyFill="1" applyBorder="1" applyAlignment="1" applyProtection="1">
      <alignment horizontal="center"/>
    </xf>
    <xf numFmtId="174" fontId="15" fillId="12" borderId="66" xfId="7" applyNumberFormat="1" applyFont="1" applyFill="1" applyBorder="1" applyAlignment="1">
      <alignment horizontal="center" vertical="center" wrapText="1"/>
    </xf>
    <xf numFmtId="176" fontId="15" fillId="12" borderId="11" xfId="8" applyNumberFormat="1" applyFont="1" applyFill="1" applyBorder="1" applyAlignment="1" applyProtection="1">
      <alignment horizontal="center"/>
    </xf>
    <xf numFmtId="180" fontId="17" fillId="2" borderId="28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8" xfId="9" applyFont="1" applyFill="1" applyBorder="1" applyAlignment="1" applyProtection="1">
      <alignment horizontal="right" vertical="center"/>
    </xf>
    <xf numFmtId="43" fontId="17" fillId="2" borderId="29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8" xfId="7" applyFont="1" applyBorder="1" applyAlignment="1">
      <alignment vertical="center"/>
    </xf>
    <xf numFmtId="0" fontId="15" fillId="0" borderId="29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9" xfId="7" applyFont="1" applyFill="1" applyBorder="1" applyAlignment="1">
      <alignment horizontal="right" vertical="center"/>
    </xf>
    <xf numFmtId="0" fontId="17" fillId="2" borderId="28" xfId="7" applyFont="1" applyFill="1" applyBorder="1" applyAlignment="1">
      <alignment horizontal="right" vertical="center"/>
    </xf>
    <xf numFmtId="0" fontId="17" fillId="2" borderId="47" xfId="7" applyFont="1" applyFill="1" applyBorder="1" applyAlignment="1">
      <alignment horizontal="center" vertical="center"/>
    </xf>
    <xf numFmtId="0" fontId="17" fillId="2" borderId="44" xfId="7" applyFont="1" applyFill="1" applyBorder="1" applyAlignment="1">
      <alignment horizontal="center" vertical="center"/>
    </xf>
    <xf numFmtId="0" fontId="17" fillId="2" borderId="48" xfId="7" applyFont="1" applyFill="1" applyBorder="1" applyAlignment="1">
      <alignment horizontal="center" vertical="center"/>
    </xf>
    <xf numFmtId="0" fontId="21" fillId="2" borderId="28" xfId="7" applyFont="1" applyFill="1" applyBorder="1" applyAlignment="1">
      <alignment horizontal="right" vertical="center"/>
    </xf>
    <xf numFmtId="0" fontId="21" fillId="2" borderId="29" xfId="7" applyFont="1" applyFill="1" applyBorder="1" applyAlignment="1">
      <alignment horizontal="right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31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7" xfId="7" applyFont="1" applyFill="1" applyBorder="1" applyAlignment="1">
      <alignment horizontal="center" vertical="center" wrapText="1"/>
    </xf>
    <xf numFmtId="0" fontId="15" fillId="0" borderId="82" xfId="7" applyFont="1" applyBorder="1" applyAlignment="1">
      <alignment vertical="center"/>
    </xf>
    <xf numFmtId="0" fontId="22" fillId="0" borderId="82" xfId="7" applyFont="1" applyBorder="1" applyAlignment="1">
      <alignment vertical="center"/>
    </xf>
    <xf numFmtId="0" fontId="15" fillId="15" borderId="18" xfId="7" applyFont="1" applyFill="1" applyBorder="1" applyAlignment="1">
      <alignment horizontal="center" vertical="center"/>
    </xf>
    <xf numFmtId="0" fontId="15" fillId="15" borderId="42" xfId="7" applyFont="1" applyFill="1" applyBorder="1" applyAlignment="1">
      <alignment horizontal="center" vertical="center"/>
    </xf>
    <xf numFmtId="0" fontId="15" fillId="15" borderId="43" xfId="7" applyFont="1" applyFill="1" applyBorder="1" applyAlignment="1">
      <alignment horizontal="center" vertical="center"/>
    </xf>
    <xf numFmtId="0" fontId="17" fillId="2" borderId="30" xfId="7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78" xfId="7" applyFont="1" applyFill="1" applyBorder="1" applyAlignment="1">
      <alignment horizontal="center" vertical="center" wrapText="1"/>
    </xf>
    <xf numFmtId="0" fontId="15" fillId="0" borderId="80" xfId="7" applyFont="1" applyBorder="1" applyAlignment="1">
      <alignment vertical="center"/>
    </xf>
    <xf numFmtId="0" fontId="15" fillId="0" borderId="1" xfId="7" applyFont="1" applyBorder="1" applyAlignment="1">
      <alignment vertical="center"/>
    </xf>
    <xf numFmtId="0" fontId="22" fillId="0" borderId="1" xfId="7" applyFont="1" applyBorder="1" applyAlignment="1">
      <alignment vertical="center"/>
    </xf>
    <xf numFmtId="0" fontId="22" fillId="0" borderId="13" xfId="7" applyFont="1" applyBorder="1" applyAlignment="1">
      <alignment vertical="center"/>
    </xf>
    <xf numFmtId="0" fontId="22" fillId="0" borderId="28" xfId="7" applyFont="1" applyBorder="1" applyAlignment="1">
      <alignment vertical="center"/>
    </xf>
    <xf numFmtId="0" fontId="15" fillId="3" borderId="46" xfId="7" applyFont="1" applyFill="1" applyBorder="1" applyAlignment="1">
      <alignment horizontal="center" vertical="center"/>
    </xf>
    <xf numFmtId="0" fontId="15" fillId="3" borderId="11" xfId="7" applyFont="1" applyFill="1" applyBorder="1" applyAlignment="1">
      <alignment horizontal="center" vertical="center"/>
    </xf>
    <xf numFmtId="0" fontId="15" fillId="3" borderId="12" xfId="7" applyFont="1" applyFill="1" applyBorder="1" applyAlignment="1">
      <alignment horizontal="center" vertical="center"/>
    </xf>
    <xf numFmtId="0" fontId="22" fillId="0" borderId="71" xfId="7" applyFont="1" applyBorder="1" applyAlignment="1">
      <alignment horizontal="left" vertical="center"/>
    </xf>
    <xf numFmtId="0" fontId="22" fillId="0" borderId="63" xfId="7" applyFont="1" applyBorder="1" applyAlignment="1">
      <alignment horizontal="left" vertical="center"/>
    </xf>
    <xf numFmtId="0" fontId="22" fillId="0" borderId="72" xfId="7" applyFont="1" applyBorder="1" applyAlignment="1">
      <alignment horizontal="left" vertical="center"/>
    </xf>
    <xf numFmtId="0" fontId="22" fillId="0" borderId="73" xfId="7" applyFont="1" applyBorder="1" applyAlignment="1">
      <alignment horizontal="left" vertical="center"/>
    </xf>
    <xf numFmtId="0" fontId="24" fillId="0" borderId="50" xfId="7" applyFont="1" applyBorder="1" applyAlignment="1">
      <alignment horizontal="center"/>
    </xf>
    <xf numFmtId="0" fontId="24" fillId="0" borderId="54" xfId="7" applyFont="1" applyBorder="1" applyAlignment="1">
      <alignment horizontal="center"/>
    </xf>
    <xf numFmtId="0" fontId="24" fillId="0" borderId="58" xfId="7" applyFont="1" applyBorder="1" applyAlignment="1">
      <alignment horizontal="center"/>
    </xf>
    <xf numFmtId="15" fontId="24" fillId="0" borderId="26" xfId="7" applyNumberFormat="1" applyFont="1" applyBorder="1" applyAlignment="1">
      <alignment horizontal="center"/>
    </xf>
    <xf numFmtId="0" fontId="24" fillId="0" borderId="55" xfId="7" applyFont="1" applyBorder="1" applyAlignment="1">
      <alignment horizontal="center"/>
    </xf>
    <xf numFmtId="0" fontId="24" fillId="0" borderId="59" xfId="7" applyFont="1" applyBorder="1" applyAlignment="1">
      <alignment horizontal="center"/>
    </xf>
    <xf numFmtId="0" fontId="24" fillId="0" borderId="51" xfId="7" applyFont="1" applyBorder="1" applyAlignment="1">
      <alignment horizontal="center"/>
    </xf>
    <xf numFmtId="0" fontId="24" fillId="0" borderId="56" xfId="7" applyFont="1" applyBorder="1" applyAlignment="1">
      <alignment horizontal="center"/>
    </xf>
    <xf numFmtId="0" fontId="24" fillId="0" borderId="60" xfId="7" applyFont="1" applyBorder="1" applyAlignment="1">
      <alignment horizontal="center"/>
    </xf>
    <xf numFmtId="0" fontId="24" fillId="0" borderId="52" xfId="7" applyFont="1" applyBorder="1" applyAlignment="1">
      <alignment horizontal="center"/>
    </xf>
    <xf numFmtId="0" fontId="24" fillId="0" borderId="3" xfId="7" applyFont="1" applyBorder="1" applyAlignment="1">
      <alignment horizontal="center"/>
    </xf>
    <xf numFmtId="0" fontId="24" fillId="0" borderId="4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0" fontId="24" fillId="0" borderId="42" xfId="7" applyFont="1" applyBorder="1" applyAlignment="1">
      <alignment horizontal="center"/>
    </xf>
    <xf numFmtId="0" fontId="24" fillId="0" borderId="61" xfId="7" applyFont="1" applyBorder="1" applyAlignment="1">
      <alignment horizontal="center"/>
    </xf>
    <xf numFmtId="0" fontId="24" fillId="0" borderId="1" xfId="7" applyFont="1" applyBorder="1" applyAlignment="1">
      <alignment horizontal="center"/>
    </xf>
    <xf numFmtId="0" fontId="24" fillId="0" borderId="26" xfId="7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16" fillId="0" borderId="26" xfId="7" applyFont="1" applyBorder="1" applyAlignment="1">
      <alignment horizontal="center" vertical="center"/>
    </xf>
    <xf numFmtId="0" fontId="16" fillId="0" borderId="69" xfId="7" applyFont="1" applyBorder="1" applyAlignment="1">
      <alignment horizontal="center" vertical="center"/>
    </xf>
    <xf numFmtId="0" fontId="16" fillId="0" borderId="26" xfId="7" applyFont="1" applyBorder="1" applyAlignment="1">
      <alignment horizontal="left" vertical="center" wrapText="1"/>
    </xf>
    <xf numFmtId="0" fontId="16" fillId="0" borderId="69" xfId="7" applyFont="1" applyBorder="1" applyAlignment="1">
      <alignment horizontal="left" vertical="center" wrapText="1"/>
    </xf>
    <xf numFmtId="0" fontId="13" fillId="0" borderId="0" xfId="7" applyFont="1" applyAlignment="1">
      <alignment horizontal="center"/>
    </xf>
    <xf numFmtId="0" fontId="16" fillId="4" borderId="1" xfId="7" applyFont="1" applyFill="1" applyBorder="1" applyAlignment="1">
      <alignment horizontal="center" vertical="center" wrapText="1"/>
    </xf>
    <xf numFmtId="0" fontId="16" fillId="4" borderId="1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horizontal="center" vertical="center" wrapText="1"/>
    </xf>
    <xf numFmtId="9" fontId="19" fillId="0" borderId="1" xfId="7" applyNumberFormat="1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14" fillId="0" borderId="68" xfId="7" applyFont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 wrapText="1"/>
    </xf>
    <xf numFmtId="0" fontId="17" fillId="2" borderId="43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44" xfId="7" applyFont="1" applyBorder="1" applyAlignment="1">
      <alignment vertical="center"/>
    </xf>
    <xf numFmtId="0" fontId="15" fillId="0" borderId="45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8" xfId="7" applyFont="1" applyFill="1" applyBorder="1" applyAlignment="1">
      <alignment horizontal="center" vertical="center"/>
    </xf>
    <xf numFmtId="0" fontId="15" fillId="15" borderId="29" xfId="7" applyFont="1" applyFill="1" applyBorder="1" applyAlignment="1">
      <alignment horizontal="center" vertical="center"/>
    </xf>
    <xf numFmtId="0" fontId="24" fillId="0" borderId="2" xfId="7" applyFont="1" applyBorder="1" applyAlignment="1">
      <alignment horizontal="center"/>
    </xf>
    <xf numFmtId="0" fontId="24" fillId="0" borderId="53" xfId="7" applyFont="1" applyBorder="1" applyAlignment="1">
      <alignment horizontal="center"/>
    </xf>
    <xf numFmtId="0" fontId="24" fillId="0" borderId="62" xfId="7" applyFont="1" applyBorder="1" applyAlignment="1">
      <alignment horizontal="center"/>
    </xf>
    <xf numFmtId="0" fontId="24" fillId="0" borderId="43" xfId="7" applyFont="1" applyBorder="1" applyAlignment="1">
      <alignment horizontal="center"/>
    </xf>
    <xf numFmtId="0" fontId="22" fillId="0" borderId="63" xfId="7" applyFont="1" applyBorder="1" applyAlignment="1">
      <alignment vertical="center"/>
    </xf>
    <xf numFmtId="0" fontId="22" fillId="0" borderId="64" xfId="7" applyFont="1" applyBorder="1" applyAlignment="1">
      <alignment vertical="center"/>
    </xf>
    <xf numFmtId="0" fontId="22" fillId="0" borderId="29" xfId="7" applyFont="1" applyBorder="1" applyAlignment="1">
      <alignment vertical="center"/>
    </xf>
    <xf numFmtId="0" fontId="15" fillId="3" borderId="46" xfId="7" applyFont="1" applyFill="1" applyBorder="1" applyAlignment="1">
      <alignment vertical="center"/>
    </xf>
    <xf numFmtId="0" fontId="15" fillId="3" borderId="11" xfId="7" applyFont="1" applyFill="1" applyBorder="1" applyAlignment="1">
      <alignment vertical="center"/>
    </xf>
    <xf numFmtId="0" fontId="15" fillId="3" borderId="12" xfId="7" applyFont="1" applyFill="1" applyBorder="1" applyAlignment="1">
      <alignment vertical="center"/>
    </xf>
    <xf numFmtId="0" fontId="15" fillId="3" borderId="10" xfId="7" applyFont="1" applyFill="1" applyBorder="1" applyAlignment="1">
      <alignment vertical="center"/>
    </xf>
    <xf numFmtId="0" fontId="22" fillId="0" borderId="25" xfId="7" applyFont="1" applyBorder="1" applyAlignment="1">
      <alignment vertical="center"/>
    </xf>
    <xf numFmtId="0" fontId="15" fillId="3" borderId="25" xfId="7" applyFont="1" applyFill="1" applyBorder="1" applyAlignment="1">
      <alignment vertical="center"/>
    </xf>
    <xf numFmtId="174" fontId="15" fillId="11" borderId="50" xfId="7" applyNumberFormat="1" applyFont="1" applyFill="1" applyBorder="1" applyAlignment="1">
      <alignment horizontal="center" vertical="center" wrapText="1"/>
    </xf>
    <xf numFmtId="174" fontId="15" fillId="11" borderId="54" xfId="7" applyNumberFormat="1" applyFont="1" applyFill="1" applyBorder="1" applyAlignment="1">
      <alignment horizontal="center" vertical="center" wrapText="1"/>
    </xf>
    <xf numFmtId="174" fontId="15" fillId="11" borderId="65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/>
    </xf>
    <xf numFmtId="0" fontId="14" fillId="0" borderId="68" xfId="7" applyFont="1" applyBorder="1" applyAlignment="1">
      <alignment horizontal="left" vertical="center"/>
    </xf>
    <xf numFmtId="0" fontId="14" fillId="0" borderId="70" xfId="7" applyFont="1" applyBorder="1" applyAlignment="1">
      <alignment horizontal="left" vertical="center"/>
    </xf>
    <xf numFmtId="0" fontId="16" fillId="0" borderId="26" xfId="7" applyFont="1" applyBorder="1" applyAlignment="1">
      <alignment horizontal="left" vertical="center"/>
    </xf>
    <xf numFmtId="0" fontId="16" fillId="0" borderId="69" xfId="7" applyFont="1" applyBorder="1" applyAlignment="1">
      <alignment horizontal="left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3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2 2" xfId="12" xr:uid="{DF27ACC4-2EA8-4599-80C6-C206EDBD9DCF}"/>
    <cellStyle name="Normal 3 10" xfId="11" xr:uid="{5902FD3E-72F4-4068-AB95-6C82FA7B6FAD}"/>
    <cellStyle name="Normal 4" xfId="4" xr:uid="{8005245A-6A04-4EF1-A80A-17836E2CB608}"/>
    <cellStyle name="Normal 4 2" xfId="10" xr:uid="{C29551B1-44F4-40DB-8A35-8139DE183269}"/>
    <cellStyle name="Percent" xfId="2" builtinId="5"/>
    <cellStyle name="Percent 2" xfId="8" xr:uid="{FC4C9D47-126B-45CA-8A98-D214EB04C1EE}"/>
    <cellStyle name="Percent 3" xfId="6" xr:uid="{6E389FD2-C333-4361-982F-16AEC89DC974}"/>
  </cellStyles>
  <dxfs count="4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spc="0" baseline="0">
                <a:solidFill>
                  <a:srgbClr val="002060"/>
                </a:solidFill>
              </a:rPr>
              <a:t>Revenue Sales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'Database Corp.'!$A$6</c:f>
              <c:strCache>
                <c:ptCount val="1"/>
                <c:pt idx="0">
                  <c:v>% Achievement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'Database Corp.'!$B$2:$N$2</c15:sqref>
                  </c15:fullRef>
                </c:ext>
              </c:extLst>
              <c:f>'Database Corp.'!$B$2:$M$2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'Database Corp.'!$B$6:$N$6</c15:sqref>
                  </c15:fullRef>
                </c:ext>
              </c:extLst>
              <c:f>'Database Corp.'!$B$6:$M$6</c:f>
              <c:numCache>
                <c:formatCode>0%</c:formatCode>
                <c:ptCount val="12"/>
                <c:pt idx="0">
                  <c:v>0.95559669771568823</c:v>
                </c:pt>
                <c:pt idx="1">
                  <c:v>0.99802029826598537</c:v>
                </c:pt>
                <c:pt idx="2">
                  <c:v>0.70890434370962052</c:v>
                </c:pt>
                <c:pt idx="3">
                  <c:v>0.77638376486729432</c:v>
                </c:pt>
                <c:pt idx="4">
                  <c:v>0.72697442606453444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762-4BEB-BF51-4C7DC44A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89936"/>
        <c:axId val="1149881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Corp.'!$A$3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'Database Corp.'!$B$2:$N$2</c15:sqref>
                        </c15:fullRef>
                        <c15:formulaRef>
                          <c15:sqref>'Database Corp.'!$B$2:$M$2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'Database Corp.'!$B$3:$N$3</c15:sqref>
                        </c15:fullRef>
                        <c15:formulaRef>
                          <c15:sqref>'Database Corp.'!$B$3:$M$3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26485</c:v>
                      </c:pt>
                      <c:pt idx="1">
                        <c:v>25836</c:v>
                      </c:pt>
                      <c:pt idx="2">
                        <c:v>25539</c:v>
                      </c:pt>
                      <c:pt idx="3">
                        <c:v>21137</c:v>
                      </c:pt>
                      <c:pt idx="4">
                        <c:v>27923</c:v>
                      </c:pt>
                      <c:pt idx="5">
                        <c:v>30862</c:v>
                      </c:pt>
                      <c:pt idx="6">
                        <c:v>33298</c:v>
                      </c:pt>
                      <c:pt idx="7">
                        <c:v>31479</c:v>
                      </c:pt>
                      <c:pt idx="8">
                        <c:v>34015</c:v>
                      </c:pt>
                      <c:pt idx="9">
                        <c:v>32635</c:v>
                      </c:pt>
                      <c:pt idx="10">
                        <c:v>39229</c:v>
                      </c:pt>
                      <c:pt idx="11">
                        <c:v>36193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762-4BEB-BF51-4C7DC44AFF3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Corp.'!$A$4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'Database Corp.'!$B$2:$N$2</c15:sqref>
                        </c15:fullRef>
                        <c15:formulaRef>
                          <c15:sqref>'Database Corp.'!$B$2:$M$2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'Database Corp.'!$B$4:$N$4</c15:sqref>
                        </c15:fullRef>
                        <c15:formulaRef>
                          <c15:sqref>'Database Corp.'!$B$4:$M$4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25308.978539000003</c:v>
                      </c:pt>
                      <c:pt idx="1">
                        <c:v>25784.852425999998</c:v>
                      </c:pt>
                      <c:pt idx="2">
                        <c:v>18104.708033999999</c:v>
                      </c:pt>
                      <c:pt idx="3">
                        <c:v>16410.423638</c:v>
                      </c:pt>
                      <c:pt idx="4">
                        <c:v>20299.306898999996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762-4BEB-BF51-4C7DC44AFF3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Corp.'!$A$5</c15:sqref>
                        </c15:formulaRef>
                      </c:ext>
                    </c:extLst>
                    <c:strCache>
                      <c:ptCount val="1"/>
                      <c:pt idx="0">
                        <c:v>Actual YTD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'Database Corp.'!$B$2:$N$2</c15:sqref>
                        </c15:fullRef>
                        <c15:formulaRef>
                          <c15:sqref>'Database Corp.'!$B$2:$M$2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'Database Corp.'!$B$5:$N$5</c15:sqref>
                        </c15:fullRef>
                        <c15:formulaRef>
                          <c15:sqref>'Database Corp.'!$B$5:$M$5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25308.978539000003</c:v>
                      </c:pt>
                      <c:pt idx="1">
                        <c:v>51093.830965000001</c:v>
                      </c:pt>
                      <c:pt idx="2">
                        <c:v>69198.538998999997</c:v>
                      </c:pt>
                      <c:pt idx="3">
                        <c:v>85608.96263699999</c:v>
                      </c:pt>
                      <c:pt idx="4">
                        <c:v>105908.26953599998</c:v>
                      </c:pt>
                      <c:pt idx="5">
                        <c:v>105908.26953599998</c:v>
                      </c:pt>
                      <c:pt idx="6">
                        <c:v>105908.26953599998</c:v>
                      </c:pt>
                      <c:pt idx="7">
                        <c:v>105908.26953599998</c:v>
                      </c:pt>
                      <c:pt idx="8">
                        <c:v>105908.26953599998</c:v>
                      </c:pt>
                      <c:pt idx="9">
                        <c:v>105908.26953599998</c:v>
                      </c:pt>
                      <c:pt idx="10">
                        <c:v>105908.26953599998</c:v>
                      </c:pt>
                      <c:pt idx="11">
                        <c:v>105908.26953599998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62-4BEB-BF51-4C7DC44AFF3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Corp.'!$A$7</c15:sqref>
                        </c15:formulaRef>
                      </c:ext>
                    </c:extLst>
                    <c:strCache>
                      <c:ptCount val="1"/>
                      <c:pt idx="0">
                        <c:v>% YTD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'Database Corp.'!$B$2:$N$2</c15:sqref>
                        </c15:fullRef>
                        <c15:formulaRef>
                          <c15:sqref>'Database Corp.'!$B$2:$M$2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'Database Corp.'!$B$7:$N$7</c15:sqref>
                        </c15:fullRef>
                        <c15:formulaRef>
                          <c15:sqref>'Database Corp.'!$B$7:$M$7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0.95559669771568823</c:v>
                      </c:pt>
                      <c:pt idx="1">
                        <c:v>0.97654538263794655</c:v>
                      </c:pt>
                      <c:pt idx="2">
                        <c:v>0.88875595940148977</c:v>
                      </c:pt>
                      <c:pt idx="3">
                        <c:v>0.86476320127882655</c:v>
                      </c:pt>
                      <c:pt idx="4">
                        <c:v>0.83444901935077198</c:v>
                      </c:pt>
                      <c:pt idx="5">
                        <c:v>0.67123163311404332</c:v>
                      </c:pt>
                      <c:pt idx="6">
                        <c:v>0.55426140640569388</c:v>
                      </c:pt>
                      <c:pt idx="7">
                        <c:v>0.47586603793151466</c:v>
                      </c:pt>
                      <c:pt idx="8">
                        <c:v>0.41277865074403475</c:v>
                      </c:pt>
                      <c:pt idx="9">
                        <c:v>0.36619977087849953</c:v>
                      </c:pt>
                      <c:pt idx="10">
                        <c:v>0.32246046296713526</c:v>
                      </c:pt>
                      <c:pt idx="11">
                        <c:v>0.29045327889290812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62-4BEB-BF51-4C7DC44AFF36}"/>
                  </c:ext>
                </c:extLst>
              </c15:ser>
            </c15:filteredLineSeries>
          </c:ext>
        </c:extLst>
      </c:lineChart>
      <c:catAx>
        <c:axId val="1149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88136"/>
        <c:crosses val="autoZero"/>
        <c:auto val="1"/>
        <c:lblAlgn val="ctr"/>
        <c:lblOffset val="100"/>
        <c:noMultiLvlLbl val="0"/>
      </c:catAx>
      <c:valAx>
        <c:axId val="1149881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498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'Database Corp.'!$A$127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91-4692-B0DC-09C5C9B63D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1-4692-B0DC-09C5C9B63D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91-4692-B0DC-09C5C9B63D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1-4692-B0DC-09C5C9B63D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1-4692-B0DC-09C5C9B63D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91-4692-B0DC-09C5C9B63D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91-4692-B0DC-09C5C9B63D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1-4692-B0DC-09C5C9B63D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91-4692-B0DC-09C5C9B63D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91-4692-B0DC-09C5C9B63D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91-4692-B0DC-09C5C9B63D44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KPI 0,2%</a:t>
                    </a:r>
                  </a:p>
                </c:rich>
              </c:tx>
              <c:spPr>
                <a:solidFill>
                  <a:srgbClr val="00206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B91-4692-B0DC-09C5C9B63D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93-47C4-8CD0-EF4A450EFD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Corp.'!$B$126:$N$126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Corp.'!$B$127:$N$127</c:f>
              <c:numCache>
                <c:formatCode>0.0%</c:formatCode>
                <c:ptCount val="13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  <c:pt idx="11">
                  <c:v>2E-3</c:v>
                </c:pt>
                <c:pt idx="12">
                  <c:v>2.0000000000000005E-3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E63-4918-BD84-722AF8A344C7}"/>
            </c:ext>
          </c:extLst>
        </c:ser>
        <c:ser>
          <c:idx val="3"/>
          <c:order val="1"/>
          <c:tx>
            <c:strRef>
              <c:f>'Database Corp.'!$A$128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C000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Corp.'!$B$126:$N$126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Corp.'!$B$128:$N$128</c:f>
              <c:numCache>
                <c:formatCode>0.00%</c:formatCode>
                <c:ptCount val="13"/>
                <c:pt idx="0" formatCode="0.0%">
                  <c:v>5.0000000000000001E-3</c:v>
                </c:pt>
                <c:pt idx="1">
                  <c:v>3.0999999999999999E-3</c:v>
                </c:pt>
                <c:pt idx="2">
                  <c:v>3.5000000000000001E-3</c:v>
                </c:pt>
                <c:pt idx="3">
                  <c:v>4.8999999999999998E-3</c:v>
                </c:pt>
                <c:pt idx="4" formatCode="0.0%">
                  <c:v>3.5999999999999999E-3</c:v>
                </c:pt>
                <c:pt idx="5" formatCode="0.0%">
                  <c:v>4.1999999999999997E-3</c:v>
                </c:pt>
                <c:pt idx="12" formatCode="0.0%">
                  <c:v>4.0499999999999998E-3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3-4918-BD84-722AF8A3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630456"/>
        <c:axId val="559631896"/>
        <c:extLst/>
      </c:lineChart>
      <c:catAx>
        <c:axId val="55963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31896"/>
        <c:crosses val="autoZero"/>
        <c:auto val="1"/>
        <c:lblAlgn val="ctr"/>
        <c:lblOffset val="100"/>
        <c:noMultiLvlLbl val="0"/>
      </c:catAx>
      <c:valAx>
        <c:axId val="5596318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5963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ndard"/>
        <c:varyColors val="0"/>
        <c:ser>
          <c:idx val="2"/>
          <c:order val="0"/>
          <c:tx>
            <c:strRef>
              <c:f>'Database Corp.'!$A$135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strRef>
              <c:f>'Database Corp.'!$B$133:$N$133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Corp.'!$B$135:$N$135</c:f>
              <c:numCache>
                <c:formatCode>_(* #,##0_);_(* \(#,##0\);_(* "-"??_);_(@_)</c:formatCode>
                <c:ptCount val="13"/>
                <c:pt idx="0">
                  <c:v>2648</c:v>
                </c:pt>
                <c:pt idx="1">
                  <c:v>3028</c:v>
                </c:pt>
                <c:pt idx="2">
                  <c:v>3064</c:v>
                </c:pt>
                <c:pt idx="3">
                  <c:v>2571</c:v>
                </c:pt>
                <c:pt idx="4">
                  <c:v>2733</c:v>
                </c:pt>
                <c:pt idx="12">
                  <c:v>2808.8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564-4516-8978-3D86EEBD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989720"/>
        <c:axId val="634990800"/>
        <c:extLst/>
      </c:areaChart>
      <c:catAx>
        <c:axId val="63498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990800"/>
        <c:crosses val="autoZero"/>
        <c:auto val="1"/>
        <c:lblAlgn val="ctr"/>
        <c:lblOffset val="100"/>
        <c:noMultiLvlLbl val="0"/>
      </c:catAx>
      <c:valAx>
        <c:axId val="63499080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98972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'Database Corp.'!$A$31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'Database Corp.'!$B$29:$N$29</c15:sqref>
                  </c15:fullRef>
                </c:ext>
              </c:extLst>
              <c:f>'Database Corp.'!$B$29:$M$29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'Database Corp.'!$B$31:$N$31</c15:sqref>
                  </c15:fullRef>
                </c:ext>
              </c:extLst>
              <c:f>'Database Corp.'!$B$31:$M$31</c:f>
              <c:numCache>
                <c:formatCode>0.0%</c:formatCode>
                <c:ptCount val="12"/>
                <c:pt idx="0">
                  <c:v>6.6175579564349163E-2</c:v>
                </c:pt>
                <c:pt idx="1">
                  <c:v>7.3111017463071221E-2</c:v>
                </c:pt>
                <c:pt idx="2">
                  <c:v>8.9979128353835355E-2</c:v>
                </c:pt>
                <c:pt idx="3">
                  <c:v>8.4081061125376402E-2</c:v>
                </c:pt>
                <c:pt idx="4">
                  <c:v>6.1880945751004009E-2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07-4A4E-A642-CD06381CF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193856"/>
        <c:axId val="511194936"/>
      </c:lineChart>
      <c:catAx>
        <c:axId val="5111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94936"/>
        <c:crosses val="autoZero"/>
        <c:auto val="1"/>
        <c:lblAlgn val="ctr"/>
        <c:lblOffset val="100"/>
        <c:noMultiLvlLbl val="0"/>
      </c:catAx>
      <c:valAx>
        <c:axId val="5111949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11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226592"/>
        <c:axId val="807226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Corp.'!$A$21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'Database Corp.'!$B$20:$N$20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Achievement YTD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'Database Corp.'!$B$21:$N$21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3"/>
                      <c:pt idx="0">
                        <c:v>-378</c:v>
                      </c:pt>
                      <c:pt idx="1">
                        <c:v>-331</c:v>
                      </c:pt>
                      <c:pt idx="2">
                        <c:v>-618</c:v>
                      </c:pt>
                      <c:pt idx="3">
                        <c:v>1096</c:v>
                      </c:pt>
                      <c:pt idx="4">
                        <c:v>3106</c:v>
                      </c:pt>
                      <c:pt idx="5">
                        <c:v>1255</c:v>
                      </c:pt>
                      <c:pt idx="6">
                        <c:v>1554</c:v>
                      </c:pt>
                      <c:pt idx="7">
                        <c:v>1330</c:v>
                      </c:pt>
                      <c:pt idx="8">
                        <c:v>2613</c:v>
                      </c:pt>
                      <c:pt idx="9">
                        <c:v>2041</c:v>
                      </c:pt>
                      <c:pt idx="10">
                        <c:v>3601</c:v>
                      </c:pt>
                      <c:pt idx="11">
                        <c:v>3774</c:v>
                      </c:pt>
                      <c:pt idx="12">
                        <c:v>19043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4B3-49BB-8811-7DD701F460F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Corp.'!$A$22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spPr>
                  <a:solidFill>
                    <a:srgbClr val="00B0F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Corp.'!$B$20:$N$20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Achievement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Corp.'!$B$22:$N$22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3"/>
                      <c:pt idx="0">
                        <c:v>435.96089399999573</c:v>
                      </c:pt>
                      <c:pt idx="1">
                        <c:v>-616.09659700000157</c:v>
                      </c:pt>
                      <c:pt idx="2">
                        <c:v>-615.20231200000012</c:v>
                      </c:pt>
                      <c:pt idx="3">
                        <c:v>6768.7153649999946</c:v>
                      </c:pt>
                      <c:pt idx="4">
                        <c:v>6175.0071279999956</c:v>
                      </c:pt>
                      <c:pt idx="12">
                        <c:v>12148.384477999985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4B3-49BB-8811-7DD701F460F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'Database Corp.'!$A$23</c:f>
              <c:strCache>
                <c:ptCount val="1"/>
                <c:pt idx="0">
                  <c:v>Actual YTD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B3-49BB-8811-7DD701F460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3-49BB-8811-7DD701F460F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B3-49BB-8811-7DD701F460F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3-49BB-8811-7DD701F460F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3-49BB-8811-7DD701F460F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B3-49BB-8811-7DD701F460F5}"/>
                </c:ext>
              </c:extLst>
            </c:dLbl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Corp.'!$B$20:$N$20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Corp.'!$B$23:$N$23</c:f>
              <c:numCache>
                <c:formatCode>_(* #,##0_);_(* \(#,##0\);_(* "-"??_);_(@_)</c:formatCode>
                <c:ptCount val="13"/>
                <c:pt idx="0">
                  <c:v>435.96089399999573</c:v>
                </c:pt>
                <c:pt idx="1">
                  <c:v>-180.13570300000583</c:v>
                </c:pt>
                <c:pt idx="2">
                  <c:v>-795.33801500000595</c:v>
                </c:pt>
                <c:pt idx="3">
                  <c:v>5973.3773499999888</c:v>
                </c:pt>
                <c:pt idx="4">
                  <c:v>12148.384477999985</c:v>
                </c:pt>
                <c:pt idx="5">
                  <c:v>12148.384477999985</c:v>
                </c:pt>
                <c:pt idx="6">
                  <c:v>12148.384477999985</c:v>
                </c:pt>
                <c:pt idx="7">
                  <c:v>12148.384477999985</c:v>
                </c:pt>
                <c:pt idx="8">
                  <c:v>12148.384477999985</c:v>
                </c:pt>
                <c:pt idx="9">
                  <c:v>12148.384477999985</c:v>
                </c:pt>
                <c:pt idx="10">
                  <c:v>12148.384477999985</c:v>
                </c:pt>
                <c:pt idx="11">
                  <c:v>12148.384477999985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B3-49BB-8811-7DD701F4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7360"/>
        <c:axId val="569376640"/>
      </c:lineChart>
      <c:catAx>
        <c:axId val="8072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26232"/>
        <c:crosses val="autoZero"/>
        <c:auto val="1"/>
        <c:lblAlgn val="ctr"/>
        <c:lblOffset val="100"/>
        <c:noMultiLvlLbl val="0"/>
      </c:catAx>
      <c:valAx>
        <c:axId val="80722623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26592"/>
        <c:crosses val="autoZero"/>
        <c:crossBetween val="between"/>
      </c:valAx>
      <c:valAx>
        <c:axId val="569376640"/>
        <c:scaling>
          <c:orientation val="minMax"/>
          <c:max val="25000"/>
        </c:scaling>
        <c:delete val="1"/>
        <c:axPos val="r"/>
        <c:numFmt formatCode="_(* #,##0_);_(* \(#,##0\);_(* &quot;-&quot;??_);_(@_)" sourceLinked="1"/>
        <c:majorTickMark val="out"/>
        <c:minorTickMark val="none"/>
        <c:tickLblPos val="nextTo"/>
        <c:crossAx val="569377360"/>
        <c:crosses val="max"/>
        <c:crossBetween val="between"/>
      </c:valAx>
      <c:catAx>
        <c:axId val="5693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9376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1"/>
          <c:tx>
            <c:strRef>
              <c:f>'Database Corp.'!$A$199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'Database Corp.'!$B$197:$N$197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Corp.'!$B$199:$N$199</c:f>
              <c:numCache>
                <c:formatCode>0%</c:formatCode>
                <c:ptCount val="13"/>
                <c:pt idx="0">
                  <c:v>0.49</c:v>
                </c:pt>
                <c:pt idx="1">
                  <c:v>0.51</c:v>
                </c:pt>
                <c:pt idx="2">
                  <c:v>0.52</c:v>
                </c:pt>
                <c:pt idx="3">
                  <c:v>0.55000000000000004</c:v>
                </c:pt>
                <c:pt idx="4">
                  <c:v>0.56000000000000005</c:v>
                </c:pt>
                <c:pt idx="12">
                  <c:v>0.52600000000000002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0-4C98-A182-A84A3FF6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196576"/>
        <c:axId val="800200176"/>
      </c:areaChart>
      <c:barChart>
        <c:barDir val="col"/>
        <c:grouping val="clustered"/>
        <c:varyColors val="0"/>
        <c:ser>
          <c:idx val="0"/>
          <c:order val="0"/>
          <c:tx>
            <c:strRef>
              <c:f>'Database Corp.'!$A$198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'Database Corp.'!$B$197:$N$197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Achievement YTD</c:v>
                </c:pt>
              </c:strCache>
            </c:strRef>
          </c:cat>
          <c:val>
            <c:numRef>
              <c:f>'Database Corp.'!$B$198:$N$198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0-4C98-A182-A84A3FF6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30"/>
        <c:axId val="800203416"/>
        <c:axId val="800204136"/>
      </c:barChart>
      <c:catAx>
        <c:axId val="8001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200176"/>
        <c:crosses val="autoZero"/>
        <c:auto val="1"/>
        <c:lblAlgn val="ctr"/>
        <c:lblOffset val="100"/>
        <c:noMultiLvlLbl val="0"/>
      </c:catAx>
      <c:valAx>
        <c:axId val="800200176"/>
        <c:scaling>
          <c:orientation val="minMax"/>
          <c:max val="1.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196576"/>
        <c:crosses val="autoZero"/>
        <c:crossBetween val="between"/>
      </c:valAx>
      <c:valAx>
        <c:axId val="8002041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203416"/>
        <c:crosses val="max"/>
        <c:crossBetween val="between"/>
      </c:valAx>
      <c:catAx>
        <c:axId val="800203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0204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'Database Corp.'!$P$3</c:f>
              <c:strCache>
                <c:ptCount val="1"/>
                <c:pt idx="0">
                  <c:v>Target</c:v>
                </c:pt>
              </c:strCache>
            </c:strRef>
          </c:tx>
          <c:invertIfNegative val="0"/>
          <c:cat>
            <c:multiLvlStrRef>
              <c:f>'Database Corp.'!$Q$2</c:f>
            </c:multiLvlStrRef>
          </c:cat>
          <c:val>
            <c:numRef>
              <c:f>'Database Corp.'!$Q$3</c:f>
            </c:numRef>
          </c:val>
          <c:extLst>
            <c:ext xmlns:c16="http://schemas.microsoft.com/office/drawing/2014/chart" uri="{C3380CC4-5D6E-409C-BE32-E72D297353CC}">
              <c16:uniqueId val="{00000002-649E-445B-8DBC-1FDAB7926FB4}"/>
            </c:ext>
          </c:extLst>
        </c:ser>
        <c:ser>
          <c:idx val="2"/>
          <c:order val="1"/>
          <c:tx>
            <c:strRef>
              <c:f>'Database Corp.'!$P$4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'Database Corp.'!$Q$2</c:f>
            </c:multiLvlStrRef>
          </c:cat>
          <c:val>
            <c:numRef>
              <c:f>'Database Corp.'!$Q$4</c:f>
            </c:numRef>
          </c:val>
          <c:extLst>
            <c:ext xmlns:c16="http://schemas.microsoft.com/office/drawing/2014/chart" uri="{C3380CC4-5D6E-409C-BE32-E72D297353CC}">
              <c16:uniqueId val="{00000003-649E-445B-8DBC-1FDAB7926FB4}"/>
            </c:ext>
          </c:extLst>
        </c:ser>
        <c:ser>
          <c:idx val="0"/>
          <c:order val="2"/>
          <c:tx>
            <c:strRef>
              <c:f>'Database Corp.'!$N$2</c:f>
              <c:strCache>
                <c:ptCount val="1"/>
                <c:pt idx="0">
                  <c:v>Achievement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9E-445B-8DBC-1FDAB7926FB4}"/>
              </c:ext>
            </c:extLst>
          </c:dPt>
          <c:dPt>
            <c:idx val="1"/>
            <c:invertIfNegative val="0"/>
            <c:bubble3D val="0"/>
            <c:spPr>
              <a:solidFill>
                <a:srgbClr val="0F0D3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9E-445B-8DBC-1FDAB7926F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'Database Corp.'!$A$3:$A$4</c:f>
              <c:strCache>
                <c:ptCount val="2"/>
                <c:pt idx="0">
                  <c:v>Target</c:v>
                </c:pt>
                <c:pt idx="1">
                  <c:v>Actual</c:v>
                </c:pt>
              </c:strCache>
            </c:strRef>
          </c:cat>
          <c:val>
            <c:numRef>
              <c:f>'Database Corp.'!$N$3:$N$4</c:f>
              <c:numCache>
                <c:formatCode>_(* #,##0_);_(* \(#,##0\);_(* "-"??_);_(@_)</c:formatCode>
                <c:ptCount val="2"/>
                <c:pt idx="0">
                  <c:v>364631</c:v>
                </c:pt>
                <c:pt idx="1">
                  <c:v>105908.26953599998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E-445B-8DBC-1FDAB792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0167056"/>
        <c:axId val="800162016"/>
      </c:barChart>
      <c:catAx>
        <c:axId val="80016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162016"/>
        <c:crosses val="autoZero"/>
        <c:auto val="1"/>
        <c:lblAlgn val="ctr"/>
        <c:lblOffset val="100"/>
        <c:noMultiLvlLbl val="0"/>
      </c:catAx>
      <c:valAx>
        <c:axId val="8001620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800167056"/>
        <c:crosses val="autoZero"/>
        <c:crossBetween val="between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cat>
            <c:multiLvlStrRef>
              <c:f>'Database Corp.'!$P$7:$P$8</c:f>
            </c:multiLvlStrRef>
          </c:cat>
          <c:val>
            <c:numRef>
              <c:f>'Database Corp.'!$Q$7:$Q$8</c:f>
            </c:numRef>
          </c:val>
          <c:extLst>
            <c:ext xmlns:c16="http://schemas.microsoft.com/office/drawing/2014/chart" uri="{C3380CC4-5D6E-409C-BE32-E72D297353CC}">
              <c16:uniqueId val="{0000000A-9720-48C7-BE35-37F3BFA5F60C}"/>
            </c:ext>
          </c:extLst>
        </c:ser>
        <c:ser>
          <c:idx val="0"/>
          <c:order val="1"/>
          <c:tx>
            <c:strRef>
              <c:f>'Database Corp.'!$N$2</c:f>
              <c:strCache>
                <c:ptCount val="1"/>
                <c:pt idx="0">
                  <c:v>Achievement YTD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720-48C7-BE35-37F3BFA5F60C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720-48C7-BE35-37F3BFA5F60C}"/>
              </c:ext>
            </c:extLst>
          </c:dPt>
          <c:cat>
            <c:strRef>
              <c:f>'Database Corp.'!$A$3:$A$4</c:f>
              <c:strCache>
                <c:ptCount val="2"/>
                <c:pt idx="0">
                  <c:v>Target</c:v>
                </c:pt>
                <c:pt idx="1">
                  <c:v>Actual</c:v>
                </c:pt>
              </c:strCache>
            </c:strRef>
          </c:cat>
          <c:val>
            <c:numRef>
              <c:f>'Database Corp.'!$N$3:$N$4</c:f>
              <c:numCache>
                <c:formatCode>_(* #,##0_);_(* \(#,##0\);_(* "-"??_);_(@_)</c:formatCode>
                <c:ptCount val="2"/>
                <c:pt idx="0">
                  <c:v>364631</c:v>
                </c:pt>
                <c:pt idx="1">
                  <c:v>105908.26953599998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20-48C7-BE35-37F3BFA5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Selling Expense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'Database Corp.'!$A$31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Corp.'!$B$29:$M$29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'Database Corp.'!$B$31:$M$31</c:f>
              <c:numCache>
                <c:formatCode>0.0%</c:formatCode>
                <c:ptCount val="12"/>
                <c:pt idx="0">
                  <c:v>6.6175579564349163E-2</c:v>
                </c:pt>
                <c:pt idx="1">
                  <c:v>7.3111017463071221E-2</c:v>
                </c:pt>
                <c:pt idx="2">
                  <c:v>8.9979128353835355E-2</c:v>
                </c:pt>
                <c:pt idx="3">
                  <c:v>8.4081061125376402E-2</c:v>
                </c:pt>
                <c:pt idx="4">
                  <c:v>6.1880945751004009E-2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B3-454A-9A5C-74C64D1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193856"/>
        <c:axId val="511194936"/>
      </c:lineChart>
      <c:catAx>
        <c:axId val="5111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94936"/>
        <c:crosses val="autoZero"/>
        <c:auto val="1"/>
        <c:lblAlgn val="ctr"/>
        <c:lblOffset val="100"/>
        <c:noMultiLvlLbl val="0"/>
      </c:catAx>
      <c:valAx>
        <c:axId val="5111949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11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GA Expense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'Database Corp.'!$A$39</c:f>
              <c:strCache>
                <c:ptCount val="1"/>
                <c:pt idx="0">
                  <c:v>Actual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Corp.'!$B$37:$M$37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  <c:extLst xmlns:c15="http://schemas.microsoft.com/office/drawing/2012/chart"/>
            </c:strRef>
          </c:cat>
          <c:val>
            <c:numRef>
              <c:f>'Database Corp.'!$B$39:$M$39</c:f>
              <c:numCache>
                <c:formatCode>0%</c:formatCode>
                <c:ptCount val="12"/>
                <c:pt idx="0">
                  <c:v>0.87865198309107195</c:v>
                </c:pt>
                <c:pt idx="1">
                  <c:v>0.87157189995697215</c:v>
                </c:pt>
                <c:pt idx="2">
                  <c:v>0.90621556907342848</c:v>
                </c:pt>
                <c:pt idx="3">
                  <c:v>0.86613160132203959</c:v>
                </c:pt>
                <c:pt idx="4">
                  <c:v>1.0283337388872653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DAFC-44F6-96E5-144FAD34941F}"/>
            </c:ext>
          </c:extLst>
        </c:ser>
        <c:ser>
          <c:idx val="2"/>
          <c:order val="2"/>
          <c:tx>
            <c:strRef>
              <c:f>'Database Corp.'!#REF!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'Database Corp.'!$B$37:$M$37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  <c:extLst/>
            </c:strRef>
          </c:cat>
          <c:val>
            <c:numRef>
              <c:f>'Database Corp.'!#REF!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AFC-44F6-96E5-144FAD34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332560"/>
        <c:axId val="4073275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Corp.'!$A$38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'Database Corp.'!$B$37:$M$37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'Database Corp.'!$B$38:$M$38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0.95</c:v>
                      </c:pt>
                      <c:pt idx="1">
                        <c:v>0.95</c:v>
                      </c:pt>
                      <c:pt idx="2">
                        <c:v>0.95</c:v>
                      </c:pt>
                      <c:pt idx="3">
                        <c:v>0.95</c:v>
                      </c:pt>
                      <c:pt idx="4">
                        <c:v>0.95</c:v>
                      </c:pt>
                      <c:pt idx="5">
                        <c:v>0.95</c:v>
                      </c:pt>
                      <c:pt idx="6">
                        <c:v>0.95</c:v>
                      </c:pt>
                      <c:pt idx="7">
                        <c:v>0.95</c:v>
                      </c:pt>
                      <c:pt idx="8">
                        <c:v>0.95</c:v>
                      </c:pt>
                      <c:pt idx="9">
                        <c:v>0.95</c:v>
                      </c:pt>
                      <c:pt idx="10">
                        <c:v>0.95</c:v>
                      </c:pt>
                      <c:pt idx="11">
                        <c:v>0.95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AFC-44F6-96E5-144FAD34941F}"/>
                  </c:ext>
                </c:extLst>
              </c15:ser>
            </c15:filteredLineSeries>
          </c:ext>
        </c:extLst>
      </c:lineChart>
      <c:catAx>
        <c:axId val="40733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327520"/>
        <c:crosses val="autoZero"/>
        <c:auto val="1"/>
        <c:lblAlgn val="ctr"/>
        <c:lblOffset val="100"/>
        <c:noMultiLvlLbl val="0"/>
      </c:catAx>
      <c:valAx>
        <c:axId val="4073275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0733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Klaim Produk</a:t>
            </a:r>
            <a:r>
              <a:rPr lang="en-US" sz="1100" b="1" baseline="0">
                <a:solidFill>
                  <a:srgbClr val="002060"/>
                </a:solidFill>
              </a:rPr>
              <a:t> per Bulan (in Qty)</a:t>
            </a:r>
            <a:endParaRPr lang="en-US" sz="11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'Database Corp.'!$A$53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'Database Corp.'!$B$52:$N$52</c15:sqref>
                  </c15:fullRef>
                </c:ext>
              </c:extLst>
              <c:f>'Database Corp.'!$B$52:$M$52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'Database Corp.'!$B$53:$N$53</c15:sqref>
                  </c15:fullRef>
                </c:ext>
              </c:extLst>
              <c:f>'Database Corp.'!$B$53:$M$53</c:f>
              <c:numCache>
                <c:formatCode>_(* #,##0.000_);_(* \(#,##0.000\);_(*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0-45AE-B971-653B77799A37}"/>
            </c:ext>
          </c:extLst>
        </c:ser>
        <c:ser>
          <c:idx val="1"/>
          <c:order val="1"/>
          <c:tx>
            <c:strRef>
              <c:f>'Database Corp.'!$A$54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'Database Corp.'!$B$52:$N$52</c15:sqref>
                  </c15:fullRef>
                </c:ext>
              </c:extLst>
              <c:f>'Database Corp.'!$B$52:$M$52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'Database Corp.'!$B$54:$N$54</c15:sqref>
                  </c15:fullRef>
                </c:ext>
              </c:extLst>
              <c:f>'Database Corp.'!$B$54:$M$54</c:f>
              <c:numCache>
                <c:formatCode>_(* #,##0.000_);_(* \(#,##0.000\);_(*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0-45AE-B971-653B77799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114272"/>
        <c:axId val="538113192"/>
      </c:lineChart>
      <c:catAx>
        <c:axId val="53811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113192"/>
        <c:crosses val="autoZero"/>
        <c:auto val="1"/>
        <c:lblAlgn val="ctr"/>
        <c:lblOffset val="100"/>
        <c:noMultiLvlLbl val="0"/>
      </c:catAx>
      <c:valAx>
        <c:axId val="538113192"/>
        <c:scaling>
          <c:orientation val="minMax"/>
        </c:scaling>
        <c:delete val="1"/>
        <c:axPos val="l"/>
        <c:numFmt formatCode="_(* #,##0.000_);_(* \(#,##0.000\);_(* &quot;-&quot;??_);_(@_)" sourceLinked="1"/>
        <c:majorTickMark val="none"/>
        <c:minorTickMark val="none"/>
        <c:tickLblPos val="nextTo"/>
        <c:crossAx val="53811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Komplain Produk (in Rupiah)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'Database Corp.'!$A$63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Corp.'!$B$61:$M$61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'Database Corp.'!$B$63:$M$63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F2-4A17-9D93-7C5683CC1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049640"/>
        <c:axId val="5400525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Corp.'!$A$62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'Database Corp.'!$B$61:$M$61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'Database Corp.'!$B$62:$M$62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 formatCode="_(* #,##0_);_(* \(#,##0\);_(* &quot;-&quot;??_);_(@_)">
                        <c:v>0</c:v>
                      </c:pt>
                      <c:pt idx="5" formatCode="_(* #,##0_);_(* \(#,##0\);_(* &quot;-&quot;??_);_(@_)">
                        <c:v>0</c:v>
                      </c:pt>
                      <c:pt idx="6" formatCode="_(* #,##0_);_(* \(#,##0\);_(* &quot;-&quot;??_);_(@_)">
                        <c:v>0</c:v>
                      </c:pt>
                      <c:pt idx="7" formatCode="_(* #,##0_);_(* \(#,##0\);_(* &quot;-&quot;??_);_(@_)">
                        <c:v>0</c:v>
                      </c:pt>
                      <c:pt idx="8" formatCode="_(* #,##0_);_(* \(#,##0\);_(* &quot;-&quot;??_);_(@_)">
                        <c:v>0</c:v>
                      </c:pt>
                      <c:pt idx="9" formatCode="_(* #,##0_);_(* \(#,##0\);_(* &quot;-&quot;??_);_(@_)">
                        <c:v>0</c:v>
                      </c:pt>
                      <c:pt idx="10" formatCode="_(* #,##0_);_(* \(#,##0\);_(* &quot;-&quot;??_);_(@_)">
                        <c:v>0</c:v>
                      </c:pt>
                      <c:pt idx="11" formatCode="_(* #,##0_);_(* \(#,##0\);_(* &quot;-&quot;??_);_(@_)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BF2-4A17-9D93-7C5683CC1043}"/>
                  </c:ext>
                </c:extLst>
              </c15:ser>
            </c15:filteredLineSeries>
          </c:ext>
        </c:extLst>
      </c:lineChart>
      <c:catAx>
        <c:axId val="54004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52520"/>
        <c:crosses val="autoZero"/>
        <c:auto val="1"/>
        <c:lblAlgn val="ctr"/>
        <c:lblOffset val="100"/>
        <c:noMultiLvlLbl val="0"/>
      </c:catAx>
      <c:valAx>
        <c:axId val="540052520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54004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3341840"/>
        <c:axId val="513345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Corp.'!$A$12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'Database Corp.'!$B$11:$M$11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'Database Corp.'!$B$12:$M$12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4282</c:v>
                      </c:pt>
                      <c:pt idx="1">
                        <c:v>4333</c:v>
                      </c:pt>
                      <c:pt idx="2">
                        <c:v>3562</c:v>
                      </c:pt>
                      <c:pt idx="3">
                        <c:v>2649</c:v>
                      </c:pt>
                      <c:pt idx="4">
                        <c:v>4925</c:v>
                      </c:pt>
                      <c:pt idx="5">
                        <c:v>5688</c:v>
                      </c:pt>
                      <c:pt idx="6">
                        <c:v>5955</c:v>
                      </c:pt>
                      <c:pt idx="7">
                        <c:v>5704</c:v>
                      </c:pt>
                      <c:pt idx="8">
                        <c:v>6910</c:v>
                      </c:pt>
                      <c:pt idx="9">
                        <c:v>6739</c:v>
                      </c:pt>
                      <c:pt idx="10">
                        <c:v>8250</c:v>
                      </c:pt>
                      <c:pt idx="11">
                        <c:v>8034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2AC-4289-9209-BF21BE4157F9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1"/>
          <c:order val="1"/>
          <c:tx>
            <c:strRef>
              <c:f>'Database Corp.'!$A$13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5B9BD5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'Database Corp.'!$B$13:$M$13</c:f>
              <c:numCache>
                <c:formatCode>_(* #,##0_);_(* \(#,##0\);_(* "-"??_);_(@_)</c:formatCode>
                <c:ptCount val="12"/>
                <c:pt idx="0">
                  <c:v>4297.4398750000037</c:v>
                </c:pt>
                <c:pt idx="1">
                  <c:v>4545.469511999996</c:v>
                </c:pt>
                <c:pt idx="2">
                  <c:v>2944.3088299999981</c:v>
                </c:pt>
                <c:pt idx="3">
                  <c:v>2682.0088259999993</c:v>
                </c:pt>
                <c:pt idx="4">
                  <c:v>3532.0899819999941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C-4289-9209-BF21BE415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9640176"/>
        <c:axId val="559643776"/>
      </c:barChart>
      <c:lineChart>
        <c:grouping val="standard"/>
        <c:varyColors val="0"/>
        <c:ser>
          <c:idx val="2"/>
          <c:order val="2"/>
          <c:tx>
            <c:strRef>
              <c:f>'Database Corp.'!$A$14</c:f>
              <c:strCache>
                <c:ptCount val="1"/>
                <c:pt idx="0">
                  <c:v>Actual YTD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'Database Corp.'!$B$14:$M$14</c:f>
              <c:numCache>
                <c:formatCode>_(* #,##0_);_(* \(#,##0\);_(* "-"??_);_(@_)</c:formatCode>
                <c:ptCount val="12"/>
                <c:pt idx="0">
                  <c:v>4297.4398750000037</c:v>
                </c:pt>
                <c:pt idx="1">
                  <c:v>8842.9093869999997</c:v>
                </c:pt>
                <c:pt idx="2">
                  <c:v>11787.218216999998</c:v>
                </c:pt>
                <c:pt idx="3">
                  <c:v>14469.227042999997</c:v>
                </c:pt>
                <c:pt idx="4">
                  <c:v>18001.317024999989</c:v>
                </c:pt>
                <c:pt idx="5">
                  <c:v>18001.317024999989</c:v>
                </c:pt>
                <c:pt idx="6">
                  <c:v>18001.317024999989</c:v>
                </c:pt>
                <c:pt idx="7">
                  <c:v>18001.317024999989</c:v>
                </c:pt>
                <c:pt idx="8">
                  <c:v>18001.317024999989</c:v>
                </c:pt>
                <c:pt idx="9">
                  <c:v>18001.317024999989</c:v>
                </c:pt>
                <c:pt idx="10">
                  <c:v>18001.317024999989</c:v>
                </c:pt>
                <c:pt idx="11">
                  <c:v>18001.317024999989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C-4289-9209-BF21BE415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1840"/>
        <c:axId val="513345440"/>
      </c:lineChart>
      <c:catAx>
        <c:axId val="51334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345440"/>
        <c:crosses val="autoZero"/>
        <c:auto val="1"/>
        <c:lblAlgn val="ctr"/>
        <c:lblOffset val="100"/>
        <c:noMultiLvlLbl val="0"/>
      </c:catAx>
      <c:valAx>
        <c:axId val="513345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513341840"/>
        <c:crosses val="autoZero"/>
        <c:crossBetween val="between"/>
      </c:valAx>
      <c:valAx>
        <c:axId val="55964377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40176"/>
        <c:crosses val="max"/>
        <c:crossBetween val="between"/>
      </c:valAx>
      <c:catAx>
        <c:axId val="55964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6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'Database Corp.'!$A$15</c:f>
              <c:strCache>
                <c:ptCount val="1"/>
                <c:pt idx="0">
                  <c:v>% Ach</c:v>
                </c:pt>
              </c:strCache>
              <c:extLst xmlns:c15="http://schemas.microsoft.com/office/drawing/2012/chart"/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  <c:extLst xmlns:c15="http://schemas.microsoft.com/office/drawing/2012/chart"/>
            </c:strRef>
          </c:cat>
          <c:val>
            <c:numRef>
              <c:f>'Database Corp.'!$B$15:$M$15</c:f>
              <c:numCache>
                <c:formatCode>0%</c:formatCode>
                <c:ptCount val="12"/>
                <c:pt idx="0">
                  <c:v>1.0036057624941626</c:v>
                </c:pt>
                <c:pt idx="1">
                  <c:v>1.0490351977844441</c:v>
                </c:pt>
                <c:pt idx="2">
                  <c:v>0.82658866647950535</c:v>
                </c:pt>
                <c:pt idx="3">
                  <c:v>1.0124608629671572</c:v>
                </c:pt>
                <c:pt idx="4">
                  <c:v>0.717175630862943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1E35-41E8-BB9D-FC998634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916024"/>
        <c:axId val="523920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'Database Corp.'!$A$12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'Database Corp.'!$B$11:$M$11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'Database Corp.'!$B$12:$M$12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4282</c:v>
                      </c:pt>
                      <c:pt idx="1">
                        <c:v>4333</c:v>
                      </c:pt>
                      <c:pt idx="2">
                        <c:v>3562</c:v>
                      </c:pt>
                      <c:pt idx="3">
                        <c:v>2649</c:v>
                      </c:pt>
                      <c:pt idx="4">
                        <c:v>4925</c:v>
                      </c:pt>
                      <c:pt idx="5">
                        <c:v>5688</c:v>
                      </c:pt>
                      <c:pt idx="6">
                        <c:v>5955</c:v>
                      </c:pt>
                      <c:pt idx="7">
                        <c:v>5704</c:v>
                      </c:pt>
                      <c:pt idx="8">
                        <c:v>6910</c:v>
                      </c:pt>
                      <c:pt idx="9">
                        <c:v>6739</c:v>
                      </c:pt>
                      <c:pt idx="10">
                        <c:v>8250</c:v>
                      </c:pt>
                      <c:pt idx="11">
                        <c:v>8034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35-41E8-BB9D-FC998634010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Corp.'!$A$13</c15:sqref>
                        </c15:formulaRef>
                      </c:ext>
                    </c:extLst>
                    <c:strCache>
                      <c:ptCount val="1"/>
                      <c:pt idx="0">
                        <c:v>Actual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Corp.'!$B$11:$M$11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Corp.'!$B$13:$M$13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4297.4398750000037</c:v>
                      </c:pt>
                      <c:pt idx="1">
                        <c:v>4545.469511999996</c:v>
                      </c:pt>
                      <c:pt idx="2">
                        <c:v>2944.3088299999981</c:v>
                      </c:pt>
                      <c:pt idx="3">
                        <c:v>2682.0088259999993</c:v>
                      </c:pt>
                      <c:pt idx="4">
                        <c:v>3532.0899819999941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E35-41E8-BB9D-FC998634010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Corp.'!$A$14</c15:sqref>
                        </c15:formulaRef>
                      </c:ext>
                    </c:extLst>
                    <c:strCache>
                      <c:ptCount val="1"/>
                      <c:pt idx="0">
                        <c:v>Actual YTD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Corp.'!$B$11:$M$11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'Database Corp.'!$B$14:$M$14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4297.4398750000037</c:v>
                      </c:pt>
                      <c:pt idx="1">
                        <c:v>8842.9093869999997</c:v>
                      </c:pt>
                      <c:pt idx="2">
                        <c:v>11787.218216999998</c:v>
                      </c:pt>
                      <c:pt idx="3">
                        <c:v>14469.227042999997</c:v>
                      </c:pt>
                      <c:pt idx="4">
                        <c:v>18001.317024999989</c:v>
                      </c:pt>
                      <c:pt idx="5">
                        <c:v>18001.317024999989</c:v>
                      </c:pt>
                      <c:pt idx="6">
                        <c:v>18001.317024999989</c:v>
                      </c:pt>
                      <c:pt idx="7">
                        <c:v>18001.317024999989</c:v>
                      </c:pt>
                      <c:pt idx="8">
                        <c:v>18001.317024999989</c:v>
                      </c:pt>
                      <c:pt idx="9">
                        <c:v>18001.317024999989</c:v>
                      </c:pt>
                      <c:pt idx="10">
                        <c:v>18001.317024999989</c:v>
                      </c:pt>
                      <c:pt idx="11">
                        <c:v>18001.317024999989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E35-41E8-BB9D-FC998634010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'Database Corp.'!$A$16</c:f>
              <c:strCache>
                <c:ptCount val="1"/>
                <c:pt idx="0">
                  <c:v>% YTD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'Database Corp.'!$B$11:$M$11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'Database Corp.'!$B$16:$M$16</c:f>
              <c:numCache>
                <c:formatCode>0%</c:formatCode>
                <c:ptCount val="12"/>
                <c:pt idx="0">
                  <c:v>6.4111230251674658E-2</c:v>
                </c:pt>
                <c:pt idx="1">
                  <c:v>0.13192268334054391</c:v>
                </c:pt>
                <c:pt idx="2">
                  <c:v>0.17584726793573119</c:v>
                </c:pt>
                <c:pt idx="3">
                  <c:v>0.21585873764377672</c:v>
                </c:pt>
                <c:pt idx="4">
                  <c:v>0.26855211804985735</c:v>
                </c:pt>
                <c:pt idx="5">
                  <c:v>0.26855211804985735</c:v>
                </c:pt>
                <c:pt idx="6">
                  <c:v>0.26855211804985735</c:v>
                </c:pt>
                <c:pt idx="7">
                  <c:v>0.26855211804985735</c:v>
                </c:pt>
                <c:pt idx="8">
                  <c:v>0.26855211804985735</c:v>
                </c:pt>
                <c:pt idx="9">
                  <c:v>0.26855211804985735</c:v>
                </c:pt>
                <c:pt idx="10">
                  <c:v>0.26855211804985735</c:v>
                </c:pt>
                <c:pt idx="11">
                  <c:v>0.26855211804985735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5-41E8-BB9D-FC998634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7792"/>
        <c:axId val="508699952"/>
      </c:lineChart>
      <c:catAx>
        <c:axId val="52391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920344"/>
        <c:crosses val="autoZero"/>
        <c:auto val="1"/>
        <c:lblAlgn val="ctr"/>
        <c:lblOffset val="100"/>
        <c:noMultiLvlLbl val="0"/>
      </c:catAx>
      <c:valAx>
        <c:axId val="523920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 YTD</a:t>
                </a:r>
                <a:r>
                  <a:rPr lang="en-US" sz="800" baseline="0"/>
                  <a:t> Ach</a:t>
                </a:r>
                <a:endParaRPr lang="en-US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916024"/>
        <c:crosses val="autoZero"/>
        <c:crossBetween val="between"/>
      </c:valAx>
      <c:valAx>
        <c:axId val="5086999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697792"/>
        <c:crosses val="max"/>
        <c:crossBetween val="between"/>
      </c:valAx>
      <c:catAx>
        <c:axId val="50869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69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11138</xdr:colOff>
      <xdr:row>18</xdr:row>
      <xdr:rowOff>95251</xdr:rowOff>
    </xdr:from>
    <xdr:to>
      <xdr:col>8</xdr:col>
      <xdr:colOff>571500</xdr:colOff>
      <xdr:row>31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F5BCB3-360F-410A-A311-D51BEE9F6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</xdr:colOff>
      <xdr:row>6</xdr:row>
      <xdr:rowOff>67102</xdr:rowOff>
    </xdr:from>
    <xdr:to>
      <xdr:col>5</xdr:col>
      <xdr:colOff>293915</xdr:colOff>
      <xdr:row>17</xdr:row>
      <xdr:rowOff>122463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FD672E-F510-4500-B354-900FF141C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446315</xdr:colOff>
      <xdr:row>6</xdr:row>
      <xdr:rowOff>67103</xdr:rowOff>
    </xdr:from>
    <xdr:to>
      <xdr:col>8</xdr:col>
      <xdr:colOff>578935</xdr:colOff>
      <xdr:row>17</xdr:row>
      <xdr:rowOff>115957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A248CC2-9A70-47BE-86B2-C7B16D3C6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81640</xdr:colOff>
      <xdr:row>28</xdr:row>
      <xdr:rowOff>421</xdr:rowOff>
    </xdr:from>
    <xdr:to>
      <xdr:col>15</xdr:col>
      <xdr:colOff>580844</xdr:colOff>
      <xdr:row>35</xdr:row>
      <xdr:rowOff>122462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808592-5FD1-43E2-856C-278640DD3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4239</xdr:colOff>
      <xdr:row>19</xdr:row>
      <xdr:rowOff>124935</xdr:rowOff>
    </xdr:from>
    <xdr:to>
      <xdr:col>15</xdr:col>
      <xdr:colOff>603725</xdr:colOff>
      <xdr:row>27</xdr:row>
      <xdr:rowOff>54427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EB4EC67-2436-449C-8E38-381F50FCFFB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59366</xdr:colOff>
      <xdr:row>32</xdr:row>
      <xdr:rowOff>13610</xdr:rowOff>
    </xdr:from>
    <xdr:to>
      <xdr:col>24</xdr:col>
      <xdr:colOff>22651</xdr:colOff>
      <xdr:row>43</xdr:row>
      <xdr:rowOff>112670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9E72D53-EAC6-42A6-9CFB-944B75AE3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59372</xdr:colOff>
      <xdr:row>19</xdr:row>
      <xdr:rowOff>119444</xdr:rowOff>
    </xdr:from>
    <xdr:to>
      <xdr:col>24</xdr:col>
      <xdr:colOff>22657</xdr:colOff>
      <xdr:row>31</xdr:row>
      <xdr:rowOff>28004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A5BBD11-492B-4C99-A337-99069F3F0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22412</xdr:colOff>
      <xdr:row>6</xdr:row>
      <xdr:rowOff>81148</xdr:rowOff>
    </xdr:from>
    <xdr:to>
      <xdr:col>16</xdr:col>
      <xdr:colOff>1</xdr:colOff>
      <xdr:row>17</xdr:row>
      <xdr:rowOff>78838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528A535-6B88-456A-AC3C-DA113F2E0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60159</xdr:colOff>
      <xdr:row>6</xdr:row>
      <xdr:rowOff>86406</xdr:rowOff>
    </xdr:from>
    <xdr:to>
      <xdr:col>24</xdr:col>
      <xdr:colOff>28766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43F3C0-DAB8-4EFC-A0F7-B1A0C87AD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11206</xdr:colOff>
      <xdr:row>33</xdr:row>
      <xdr:rowOff>112058</xdr:rowOff>
    </xdr:from>
    <xdr:to>
      <xdr:col>8</xdr:col>
      <xdr:colOff>571500</xdr:colOff>
      <xdr:row>43</xdr:row>
      <xdr:rowOff>112059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0E97AC-48E6-4887-B96B-F7105B7D0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6</xdr:col>
      <xdr:colOff>425824</xdr:colOff>
      <xdr:row>10</xdr:row>
      <xdr:rowOff>89646</xdr:rowOff>
    </xdr:from>
    <xdr:ext cx="805285" cy="53065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8E8D3F-F19E-E1B5-90D4-B0C61BBA52F8}"/>
            </a:ext>
          </a:extLst>
        </xdr:cNvPr>
        <xdr:cNvSpPr txBox="1"/>
      </xdr:nvSpPr>
      <xdr:spPr>
        <a:xfrm>
          <a:off x="3821206" y="2005852"/>
          <a:ext cx="805285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>
              <a:solidFill>
                <a:srgbClr val="002060"/>
              </a:solidFill>
            </a:rPr>
            <a:t>29%</a:t>
          </a:r>
        </a:p>
      </xdr:txBody>
    </xdr:sp>
    <xdr:clientData/>
  </xdr:oneCellAnchor>
  <xdr:twoCellAnchor>
    <xdr:from>
      <xdr:col>25</xdr:col>
      <xdr:colOff>11206</xdr:colOff>
      <xdr:row>19</xdr:row>
      <xdr:rowOff>123264</xdr:rowOff>
    </xdr:from>
    <xdr:to>
      <xdr:col>31</xdr:col>
      <xdr:colOff>577596</xdr:colOff>
      <xdr:row>31</xdr:row>
      <xdr:rowOff>31824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B652E08-CB30-4D05-BFAF-FA0437CBE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89647</xdr:colOff>
      <xdr:row>35</xdr:row>
      <xdr:rowOff>179293</xdr:rowOff>
    </xdr:from>
    <xdr:to>
      <xdr:col>15</xdr:col>
      <xdr:colOff>593374</xdr:colOff>
      <xdr:row>43</xdr:row>
      <xdr:rowOff>109189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8591249-5335-4B8D-9926-C70F4D4F3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25</xdr:col>
      <xdr:colOff>0</xdr:colOff>
      <xdr:row>7</xdr:row>
      <xdr:rowOff>0</xdr:rowOff>
    </xdr:from>
    <xdr:to>
      <xdr:col>31</xdr:col>
      <xdr:colOff>575534</xdr:colOff>
      <xdr:row>17</xdr:row>
      <xdr:rowOff>188976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A746657-FF8D-44FF-AB38-A6EB2EAD7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566390</xdr:colOff>
      <xdr:row>43</xdr:row>
      <xdr:rowOff>99060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79F2AFD-6992-41CB-B898-D1B37671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91382</xdr:colOff>
      <xdr:row>2</xdr:row>
      <xdr:rowOff>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09721-163A-4008-A1A4-866AD775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7026"/>
          <a:ext cx="2046275" cy="72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127001</xdr:rowOff>
    </xdr:from>
    <xdr:to>
      <xdr:col>2</xdr:col>
      <xdr:colOff>322703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7026"/>
          <a:ext cx="2043553" cy="725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127001</xdr:rowOff>
    </xdr:from>
    <xdr:to>
      <xdr:col>2</xdr:col>
      <xdr:colOff>322703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9AED6-1D6F-4599-8891-A59BF7F6F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7026"/>
          <a:ext cx="2043553" cy="7258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127001</xdr:rowOff>
    </xdr:from>
    <xdr:to>
      <xdr:col>2</xdr:col>
      <xdr:colOff>322703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CD9653-E1C3-43FA-BBCA-F36E1FDD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7026"/>
          <a:ext cx="2043553" cy="7258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127001</xdr:rowOff>
    </xdr:from>
    <xdr:to>
      <xdr:col>2</xdr:col>
      <xdr:colOff>322703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F158A0-66E5-4A34-95C6-922D4106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7026"/>
          <a:ext cx="2043553" cy="7258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4F22-F290-4013-B667-06AE5F6BDEA4}">
  <dimension ref="A1:AG44"/>
  <sheetViews>
    <sheetView showGridLines="0" topLeftCell="E1" zoomScale="85" zoomScaleNormal="85" workbookViewId="0">
      <selection activeCell="AB44" sqref="AB44:AB45"/>
    </sheetView>
  </sheetViews>
  <sheetFormatPr defaultRowHeight="15" x14ac:dyDescent="0.25"/>
  <cols>
    <col min="1" max="1" width="5.5703125" customWidth="1"/>
    <col min="9" max="9" width="9.140625" customWidth="1"/>
    <col min="10" max="10" width="1.42578125" customWidth="1"/>
    <col min="17" max="17" width="1.42578125" customWidth="1"/>
    <col min="25" max="25" width="2.28515625" customWidth="1"/>
    <col min="33" max="33" width="2.7109375" customWidth="1"/>
  </cols>
  <sheetData>
    <row r="1" spans="1:33" ht="15" customHeight="1" x14ac:dyDescent="0.25">
      <c r="A1" s="400" t="s">
        <v>398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</row>
    <row r="2" spans="1:33" ht="15" customHeight="1" x14ac:dyDescent="0.25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</row>
    <row r="3" spans="1:33" ht="15.75" customHeight="1" x14ac:dyDescent="0.25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</row>
    <row r="4" spans="1:33" x14ac:dyDescent="0.25">
      <c r="A4" s="327"/>
      <c r="B4" s="327" t="s">
        <v>359</v>
      </c>
      <c r="C4" s="327"/>
      <c r="D4" s="327"/>
      <c r="E4" s="327"/>
      <c r="F4" s="327"/>
      <c r="G4" s="327"/>
      <c r="H4" s="327"/>
      <c r="I4" s="327"/>
      <c r="J4" s="327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</row>
    <row r="5" spans="1:33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</row>
    <row r="6" spans="1:33" x14ac:dyDescent="0.25">
      <c r="A6" s="327"/>
      <c r="B6" s="404" t="s">
        <v>355</v>
      </c>
      <c r="C6" s="404"/>
      <c r="D6" s="404"/>
      <c r="E6" s="404"/>
      <c r="F6" s="404"/>
      <c r="G6" s="404"/>
      <c r="H6" s="404"/>
      <c r="I6" s="404"/>
      <c r="J6" s="343"/>
      <c r="K6" s="405" t="s">
        <v>354</v>
      </c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368"/>
      <c r="Z6" s="405" t="s">
        <v>353</v>
      </c>
      <c r="AA6" s="405"/>
      <c r="AB6" s="405"/>
      <c r="AC6" s="405"/>
      <c r="AD6" s="405"/>
      <c r="AE6" s="405"/>
      <c r="AF6" s="405"/>
      <c r="AG6" s="368"/>
    </row>
    <row r="7" spans="1:33" x14ac:dyDescent="0.25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</row>
    <row r="8" spans="1:33" x14ac:dyDescent="0.25">
      <c r="A8" s="327"/>
      <c r="B8" s="327"/>
      <c r="C8" s="327"/>
      <c r="D8" s="327"/>
      <c r="E8" s="327"/>
      <c r="F8" s="327"/>
      <c r="G8" s="327"/>
      <c r="H8" s="327"/>
      <c r="I8" s="327"/>
      <c r="J8" s="32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</row>
    <row r="9" spans="1:33" x14ac:dyDescent="0.25">
      <c r="A9" s="327"/>
      <c r="B9" s="327"/>
      <c r="C9" s="327"/>
      <c r="D9" s="327"/>
      <c r="E9" s="327"/>
      <c r="F9" s="327"/>
      <c r="G9" s="327"/>
      <c r="H9" s="327"/>
      <c r="I9" s="327"/>
      <c r="J9" s="327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</row>
    <row r="10" spans="1:33" x14ac:dyDescent="0.25">
      <c r="A10" s="327"/>
      <c r="B10" s="327"/>
      <c r="C10" s="327"/>
      <c r="D10" s="327"/>
      <c r="E10" s="327"/>
      <c r="F10" s="327"/>
      <c r="G10" s="327"/>
      <c r="H10" s="327"/>
      <c r="I10" s="327"/>
      <c r="J10" s="327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1:33" x14ac:dyDescent="0.25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</row>
    <row r="12" spans="1:33" x14ac:dyDescent="0.25">
      <c r="A12" s="327"/>
      <c r="B12" s="327"/>
      <c r="C12" s="327"/>
      <c r="D12" s="327"/>
      <c r="E12" s="327"/>
      <c r="F12" s="327"/>
      <c r="G12" s="327"/>
      <c r="H12" s="327"/>
      <c r="I12" s="327"/>
      <c r="J12" s="327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</row>
    <row r="13" spans="1:33" x14ac:dyDescent="0.25">
      <c r="A13" s="327"/>
      <c r="B13" s="327"/>
      <c r="C13" s="327"/>
      <c r="D13" s="327"/>
      <c r="E13" s="327"/>
      <c r="F13" s="327"/>
      <c r="G13" s="327"/>
      <c r="H13" s="327"/>
      <c r="I13" s="327"/>
      <c r="J13" s="327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</row>
    <row r="14" spans="1:33" x14ac:dyDescent="0.25">
      <c r="A14" s="327"/>
      <c r="B14" s="327"/>
      <c r="C14" s="327"/>
      <c r="D14" s="327"/>
      <c r="E14" s="327"/>
      <c r="F14" s="327"/>
      <c r="G14" s="327"/>
      <c r="H14" s="327"/>
      <c r="I14" s="327"/>
      <c r="J14" s="327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</row>
    <row r="15" spans="1:33" x14ac:dyDescent="0.25">
      <c r="A15" s="327"/>
      <c r="B15" s="327"/>
      <c r="C15" s="327"/>
      <c r="D15" s="327"/>
      <c r="E15" s="327"/>
      <c r="F15" s="327"/>
      <c r="G15" s="327"/>
      <c r="H15" s="327"/>
      <c r="I15" s="327"/>
      <c r="J15" s="327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</row>
    <row r="16" spans="1:33" x14ac:dyDescent="0.25">
      <c r="A16" s="327"/>
      <c r="B16" s="327"/>
      <c r="C16" s="327"/>
      <c r="D16" s="327"/>
      <c r="E16" s="327"/>
      <c r="F16" s="327"/>
      <c r="G16" s="327"/>
      <c r="H16" s="327"/>
      <c r="I16" s="327"/>
      <c r="J16" s="327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</row>
    <row r="17" spans="1:33" x14ac:dyDescent="0.25">
      <c r="A17" s="327"/>
      <c r="B17" s="327"/>
      <c r="C17" s="327"/>
      <c r="D17" s="327"/>
      <c r="E17" s="327"/>
      <c r="F17" s="327"/>
      <c r="G17" s="327"/>
      <c r="H17" s="327"/>
      <c r="I17" s="327"/>
      <c r="J17" s="327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</row>
    <row r="18" spans="1:33" x14ac:dyDescent="0.25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</row>
    <row r="19" spans="1:33" x14ac:dyDescent="0.25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401" t="s">
        <v>356</v>
      </c>
      <c r="L19" s="401"/>
      <c r="M19" s="401"/>
      <c r="N19" s="401"/>
      <c r="O19" s="401"/>
      <c r="P19" s="401"/>
      <c r="Q19" s="368"/>
      <c r="R19" s="401" t="s">
        <v>362</v>
      </c>
      <c r="S19" s="401"/>
      <c r="T19" s="401"/>
      <c r="U19" s="401"/>
      <c r="V19" s="401"/>
      <c r="W19" s="401"/>
      <c r="X19" s="401"/>
      <c r="Y19" s="368"/>
      <c r="Z19" s="402" t="s">
        <v>358</v>
      </c>
      <c r="AA19" s="402"/>
      <c r="AB19" s="402"/>
      <c r="AC19" s="402"/>
      <c r="AD19" s="402"/>
      <c r="AE19" s="402"/>
      <c r="AF19" s="402"/>
      <c r="AG19" s="402"/>
    </row>
    <row r="20" spans="1:33" x14ac:dyDescent="0.25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27"/>
      <c r="AA20" s="327"/>
      <c r="AB20" s="327"/>
      <c r="AC20" s="327"/>
      <c r="AD20" s="327"/>
      <c r="AE20" s="327"/>
      <c r="AF20" s="327"/>
      <c r="AG20" s="327"/>
    </row>
    <row r="21" spans="1:33" x14ac:dyDescent="0.25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27"/>
      <c r="AA21" s="327"/>
      <c r="AB21" s="327"/>
      <c r="AC21" s="327"/>
      <c r="AD21" s="327"/>
      <c r="AE21" s="327"/>
      <c r="AF21" s="327"/>
      <c r="AG21" s="327"/>
    </row>
    <row r="22" spans="1:33" x14ac:dyDescent="0.25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27"/>
      <c r="AA22" s="327"/>
      <c r="AB22" s="327"/>
      <c r="AC22" s="327"/>
      <c r="AD22" s="327"/>
      <c r="AE22" s="327"/>
      <c r="AF22" s="327"/>
      <c r="AG22" s="327"/>
    </row>
    <row r="23" spans="1:33" x14ac:dyDescent="0.25">
      <c r="A23" s="368"/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</row>
    <row r="24" spans="1:33" x14ac:dyDescent="0.25">
      <c r="A24" s="368"/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</row>
    <row r="25" spans="1:33" x14ac:dyDescent="0.25">
      <c r="A25" s="368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</row>
    <row r="26" spans="1:33" x14ac:dyDescent="0.25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</row>
    <row r="27" spans="1:33" x14ac:dyDescent="0.25">
      <c r="A27" s="368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</row>
    <row r="28" spans="1:33" x14ac:dyDescent="0.25">
      <c r="A28" s="368"/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</row>
    <row r="29" spans="1:33" x14ac:dyDescent="0.25">
      <c r="A29" s="368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</row>
    <row r="30" spans="1:33" x14ac:dyDescent="0.25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</row>
    <row r="31" spans="1:33" x14ac:dyDescent="0.25">
      <c r="A31" s="368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</row>
    <row r="32" spans="1:33" x14ac:dyDescent="0.25">
      <c r="A32" s="368"/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</row>
    <row r="33" spans="1:33" x14ac:dyDescent="0.25">
      <c r="A33" s="368"/>
      <c r="B33" s="401" t="s">
        <v>357</v>
      </c>
      <c r="C33" s="401"/>
      <c r="D33" s="401"/>
      <c r="E33" s="401"/>
      <c r="F33" s="401"/>
      <c r="G33" s="401"/>
      <c r="H33" s="401"/>
      <c r="I33" s="401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</row>
    <row r="34" spans="1:33" x14ac:dyDescent="0.25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</row>
    <row r="35" spans="1:33" x14ac:dyDescent="0.25">
      <c r="A35" s="368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</row>
    <row r="36" spans="1:33" x14ac:dyDescent="0.25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</row>
    <row r="37" spans="1:33" x14ac:dyDescent="0.25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</row>
    <row r="38" spans="1:33" x14ac:dyDescent="0.25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</row>
    <row r="39" spans="1:33" x14ac:dyDescent="0.25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</row>
    <row r="40" spans="1:33" x14ac:dyDescent="0.25">
      <c r="A40" s="368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</row>
    <row r="41" spans="1:33" x14ac:dyDescent="0.25">
      <c r="A41" s="368"/>
      <c r="B41" s="403"/>
      <c r="C41" s="403"/>
      <c r="D41" s="403"/>
      <c r="E41" s="403"/>
      <c r="F41" s="403"/>
      <c r="G41" s="403"/>
      <c r="H41" s="403"/>
      <c r="I41" s="403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</row>
    <row r="42" spans="1:33" x14ac:dyDescent="0.25">
      <c r="A42" s="368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</row>
    <row r="43" spans="1:33" x14ac:dyDescent="0.25">
      <c r="A43" s="368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</row>
    <row r="44" spans="1:33" ht="36.75" customHeight="1" x14ac:dyDescent="0.25">
      <c r="A44" s="368"/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</row>
  </sheetData>
  <mergeCells count="9">
    <mergeCell ref="A1:AG3"/>
    <mergeCell ref="B33:I33"/>
    <mergeCell ref="Z19:AG19"/>
    <mergeCell ref="B41:I41"/>
    <mergeCell ref="B6:I6"/>
    <mergeCell ref="Z6:AF6"/>
    <mergeCell ref="K19:P19"/>
    <mergeCell ref="R19:X19"/>
    <mergeCell ref="K6:X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89AF-D828-406C-8C59-A162383BAD27}">
  <sheetPr>
    <pageSetUpPr fitToPage="1"/>
  </sheetPr>
  <dimension ref="A3:U81"/>
  <sheetViews>
    <sheetView showGridLines="0" topLeftCell="A7" zoomScale="70" zoomScaleNormal="70" zoomScaleSheetLayoutView="85" workbookViewId="0">
      <selection activeCell="C11" sqref="C11"/>
    </sheetView>
  </sheetViews>
  <sheetFormatPr defaultColWidth="7.85546875" defaultRowHeight="15.75" x14ac:dyDescent="0.25"/>
  <cols>
    <col min="1" max="1" width="1.7109375" style="98" customWidth="1"/>
    <col min="2" max="2" width="27.7109375" style="102" customWidth="1"/>
    <col min="3" max="3" width="37" style="98" customWidth="1"/>
    <col min="4" max="4" width="42.7109375" style="98" customWidth="1"/>
    <col min="5" max="5" width="35.85546875" style="98" customWidth="1"/>
    <col min="6" max="6" width="13.5703125" style="117" customWidth="1"/>
    <col min="7" max="7" width="12.140625" style="117" customWidth="1"/>
    <col min="8" max="8" width="12.7109375" style="98" customWidth="1"/>
    <col min="9" max="9" width="16" style="98" customWidth="1"/>
    <col min="10" max="11" width="16.140625" style="98" customWidth="1"/>
    <col min="12" max="13" width="15.42578125" style="98" customWidth="1"/>
    <col min="14" max="14" width="2.7109375" style="98" customWidth="1"/>
    <col min="15" max="15" width="8.7109375" style="98" bestFit="1" customWidth="1"/>
    <col min="16" max="16" width="10.85546875" style="98" bestFit="1" customWidth="1"/>
    <col min="17" max="17" width="7.85546875" style="99" bestFit="1" customWidth="1"/>
    <col min="18" max="18" width="18.140625" style="100" bestFit="1" customWidth="1"/>
    <col min="19" max="19" width="18.28515625" style="99" customWidth="1"/>
    <col min="20" max="16384" width="7.85546875" style="98"/>
  </cols>
  <sheetData>
    <row r="3" spans="2:21" ht="28.5" x14ac:dyDescent="0.45">
      <c r="B3" s="526" t="s">
        <v>120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2:21" ht="28.5" x14ac:dyDescent="0.45">
      <c r="B4" s="526" t="s">
        <v>121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</row>
    <row r="5" spans="2:21" x14ac:dyDescent="0.25">
      <c r="B5" s="101"/>
      <c r="C5" s="101"/>
      <c r="D5" s="101"/>
      <c r="E5" s="101"/>
      <c r="F5" s="101"/>
      <c r="G5" s="101"/>
      <c r="H5" s="101"/>
      <c r="I5" s="101"/>
      <c r="J5" s="423" t="s">
        <v>122</v>
      </c>
      <c r="K5" s="423"/>
      <c r="L5" s="423"/>
      <c r="M5" s="423"/>
    </row>
    <row r="6" spans="2:21" ht="33.6" customHeight="1" x14ac:dyDescent="0.25">
      <c r="B6" s="564" t="s">
        <v>102</v>
      </c>
      <c r="C6" s="524" t="s">
        <v>103</v>
      </c>
      <c r="D6" s="424" t="s">
        <v>214</v>
      </c>
      <c r="E6" s="424" t="s">
        <v>204</v>
      </c>
      <c r="F6" s="424"/>
      <c r="G6" s="424"/>
      <c r="H6" s="424"/>
      <c r="I6" s="527" t="s">
        <v>127</v>
      </c>
      <c r="J6" s="425" t="s">
        <v>206</v>
      </c>
      <c r="K6" s="425"/>
      <c r="L6" s="105">
        <v>1.25</v>
      </c>
      <c r="M6" s="106">
        <v>1.5</v>
      </c>
      <c r="R6" s="266" t="s">
        <v>126</v>
      </c>
      <c r="S6" s="266"/>
      <c r="T6" s="266"/>
      <c r="U6" s="266"/>
    </row>
    <row r="7" spans="2:21" ht="33.6" customHeight="1" x14ac:dyDescent="0.25">
      <c r="B7" s="565"/>
      <c r="C7" s="525"/>
      <c r="D7" s="424"/>
      <c r="E7" s="424"/>
      <c r="F7" s="424"/>
      <c r="G7" s="424"/>
      <c r="H7" s="424"/>
      <c r="I7" s="528"/>
      <c r="J7" s="426" t="s">
        <v>207</v>
      </c>
      <c r="K7" s="427"/>
      <c r="L7" s="107">
        <v>1.05</v>
      </c>
      <c r="M7" s="108">
        <v>1.25</v>
      </c>
      <c r="N7" s="109"/>
      <c r="O7" s="109"/>
      <c r="P7" s="109"/>
      <c r="Q7" s="109"/>
      <c r="R7" s="266" t="s">
        <v>204</v>
      </c>
      <c r="S7" s="266"/>
      <c r="T7" s="266"/>
      <c r="U7" s="266"/>
    </row>
    <row r="8" spans="2:21" ht="33.6" customHeight="1" x14ac:dyDescent="0.25">
      <c r="B8" s="564" t="s">
        <v>128</v>
      </c>
      <c r="C8" s="524" t="s">
        <v>311</v>
      </c>
      <c r="D8" s="424" t="s">
        <v>132</v>
      </c>
      <c r="E8" s="430">
        <f>M49</f>
        <v>0.73396112262602298</v>
      </c>
      <c r="F8" s="430"/>
      <c r="G8" s="430"/>
      <c r="H8" s="430"/>
      <c r="I8" s="529">
        <f>COUNTA(F16:F49)</f>
        <v>29</v>
      </c>
      <c r="J8" s="431" t="s">
        <v>208</v>
      </c>
      <c r="K8" s="432"/>
      <c r="L8" s="111">
        <v>0.95</v>
      </c>
      <c r="M8" s="112">
        <v>1.05</v>
      </c>
      <c r="N8" s="109"/>
      <c r="O8" s="109"/>
      <c r="P8" s="109"/>
      <c r="Q8" s="109"/>
      <c r="R8" s="269" t="s">
        <v>29</v>
      </c>
    </row>
    <row r="9" spans="2:21" ht="33.6" customHeight="1" x14ac:dyDescent="0.25">
      <c r="B9" s="565"/>
      <c r="C9" s="525"/>
      <c r="D9" s="424"/>
      <c r="E9" s="430"/>
      <c r="F9" s="430"/>
      <c r="G9" s="430"/>
      <c r="H9" s="430"/>
      <c r="I9" s="529"/>
      <c r="J9" s="433" t="s">
        <v>209</v>
      </c>
      <c r="K9" s="434"/>
      <c r="L9" s="113">
        <v>0.8</v>
      </c>
      <c r="M9" s="114">
        <v>0.95</v>
      </c>
      <c r="R9" s="100" t="s">
        <v>30</v>
      </c>
    </row>
    <row r="10" spans="2:21" ht="33.6" customHeight="1" x14ac:dyDescent="0.25">
      <c r="B10" s="369" t="s">
        <v>99</v>
      </c>
      <c r="C10" s="103" t="s">
        <v>135</v>
      </c>
      <c r="D10" s="104" t="s">
        <v>136</v>
      </c>
      <c r="E10" s="530" t="str">
        <f>M59</f>
        <v>U</v>
      </c>
      <c r="F10" s="530"/>
      <c r="G10" s="530"/>
      <c r="H10" s="530"/>
      <c r="I10" s="529"/>
      <c r="J10" s="438" t="s">
        <v>210</v>
      </c>
      <c r="K10" s="439"/>
      <c r="L10" s="115">
        <v>0</v>
      </c>
      <c r="M10" s="116">
        <v>0.8</v>
      </c>
      <c r="R10" s="100" t="s">
        <v>31</v>
      </c>
      <c r="S10" s="99" t="s">
        <v>156</v>
      </c>
      <c r="T10" s="98" t="s">
        <v>157</v>
      </c>
    </row>
    <row r="11" spans="2:21" ht="33" customHeight="1" x14ac:dyDescent="0.25">
      <c r="B11" s="266"/>
      <c r="C11" s="266"/>
      <c r="D11" s="267"/>
      <c r="E11" s="268"/>
      <c r="F11" s="268"/>
      <c r="G11" s="268"/>
      <c r="H11" s="268"/>
      <c r="I11" s="270"/>
      <c r="J11" s="271"/>
      <c r="K11" s="272"/>
      <c r="L11" s="273"/>
      <c r="M11" s="274"/>
      <c r="R11" s="100" t="s">
        <v>32</v>
      </c>
      <c r="S11" s="99" t="s">
        <v>161</v>
      </c>
      <c r="T11" s="98" t="s">
        <v>213</v>
      </c>
    </row>
    <row r="12" spans="2:21" ht="21" customHeight="1" x14ac:dyDescent="0.25">
      <c r="B12" s="277" t="s">
        <v>95</v>
      </c>
      <c r="C12" s="266" t="s">
        <v>205</v>
      </c>
      <c r="D12" s="267"/>
      <c r="E12" s="268"/>
      <c r="F12" s="268"/>
      <c r="G12" s="268"/>
      <c r="H12" s="268"/>
      <c r="I12" s="270"/>
      <c r="J12" s="271"/>
      <c r="K12" s="272"/>
      <c r="L12" s="273"/>
      <c r="M12" s="274"/>
      <c r="R12" s="100" t="s">
        <v>35</v>
      </c>
      <c r="S12" s="99" t="s">
        <v>165</v>
      </c>
    </row>
    <row r="13" spans="2:21" ht="21" customHeight="1" thickBot="1" x14ac:dyDescent="0.3">
      <c r="B13" s="282"/>
      <c r="C13" s="266"/>
      <c r="D13" s="267"/>
      <c r="E13" s="268"/>
      <c r="F13" s="268"/>
      <c r="G13" s="268"/>
      <c r="H13" s="268"/>
      <c r="I13" s="270"/>
      <c r="J13" s="271"/>
      <c r="K13" s="272"/>
      <c r="L13" s="273"/>
      <c r="M13" s="274"/>
      <c r="R13" s="123" t="s">
        <v>36</v>
      </c>
      <c r="S13" s="99" t="s">
        <v>211</v>
      </c>
    </row>
    <row r="14" spans="2:21" s="99" customFormat="1" x14ac:dyDescent="0.25">
      <c r="B14" s="440" t="s">
        <v>137</v>
      </c>
      <c r="C14" s="428" t="s">
        <v>138</v>
      </c>
      <c r="D14" s="428" t="s">
        <v>139</v>
      </c>
      <c r="E14" s="428" t="s">
        <v>140</v>
      </c>
      <c r="F14" s="428" t="s">
        <v>141</v>
      </c>
      <c r="G14" s="428" t="s">
        <v>142</v>
      </c>
      <c r="H14" s="119" t="s">
        <v>143</v>
      </c>
      <c r="I14" s="118" t="s">
        <v>41</v>
      </c>
      <c r="J14" s="119" t="s">
        <v>42</v>
      </c>
      <c r="K14" s="119" t="s">
        <v>144</v>
      </c>
      <c r="L14" s="119" t="s">
        <v>145</v>
      </c>
      <c r="M14" s="119" t="s">
        <v>146</v>
      </c>
      <c r="R14" s="136" t="s">
        <v>37</v>
      </c>
      <c r="S14" s="99" t="s">
        <v>212</v>
      </c>
    </row>
    <row r="15" spans="2:21" s="99" customFormat="1" ht="16.5" thickBot="1" x14ac:dyDescent="0.3">
      <c r="B15" s="441"/>
      <c r="C15" s="429"/>
      <c r="D15" s="429"/>
      <c r="E15" s="429"/>
      <c r="F15" s="429"/>
      <c r="G15" s="429"/>
      <c r="H15" s="120" t="s">
        <v>147</v>
      </c>
      <c r="I15" s="121" t="s">
        <v>148</v>
      </c>
      <c r="J15" s="120" t="s">
        <v>149</v>
      </c>
      <c r="K15" s="120" t="s">
        <v>150</v>
      </c>
      <c r="L15" s="120" t="s">
        <v>151</v>
      </c>
      <c r="M15" s="120" t="s">
        <v>152</v>
      </c>
      <c r="P15" s="102"/>
      <c r="Q15" s="122"/>
      <c r="R15" s="136" t="s">
        <v>38</v>
      </c>
    </row>
    <row r="16" spans="2:21" ht="48" customHeight="1" x14ac:dyDescent="0.25">
      <c r="B16" s="442" t="s">
        <v>153</v>
      </c>
      <c r="C16" s="318" t="s">
        <v>154</v>
      </c>
      <c r="D16" s="125" t="s">
        <v>312</v>
      </c>
      <c r="E16" s="126" t="s">
        <v>324</v>
      </c>
      <c r="F16" s="127" t="s">
        <v>156</v>
      </c>
      <c r="G16" s="127" t="s">
        <v>157</v>
      </c>
      <c r="H16" s="128">
        <v>0.1</v>
      </c>
      <c r="I16" s="129">
        <f>HLOOKUP(B12,'DB BusDev'!B2:N3,2,0)</f>
        <v>40.724000000000011</v>
      </c>
      <c r="J16" s="129">
        <f>HLOOKUP(B12,'DB BusDev'!B2:N4,3,0)</f>
        <v>60</v>
      </c>
      <c r="K16" s="130">
        <f>IF(F16="Maximize",J16-I16,IF(F16="Minimize",I16-J16,J16-I16))</f>
        <v>19.275999999999989</v>
      </c>
      <c r="L16" s="131">
        <f>IFERROR(IF(AND(F16="Maximize",G16="Unlock"),IF(((J16-I16)/ABS(I16))+1&lt;0,0,((J16-I16)/ABS(I16))+1),IF(AND(F16="Maximize",G16="Lock"),IF(((J16-I16)/ABS(I16))+1&lt;0,0,IF(((J16-I16)/ABS(I16))+1&gt;$M$6,$M$6,((J16-I16)/ABS(I16))+1)),IF(AND(F16="Minimize",G16="Unlock"),IF(((I16-J16)/ABS(I16))+1&lt;0,0,((I16-J16)/ABS(I16))+1),IF(AND(F16="Minimize",G16="Lock"),IF(((I16-J16)/ABS(I16))+1&lt;0,0,IF(((I16-J16)/ABS(I16))+1&gt;$M$6,$M$6,((I16-J16)/ABS(I16))+1)),IF(F16="Min to Zero",IF(J16&gt;I16,0,IF(J16&lt;I16,0,100%)),IF(F16="Stabilize to Target",IF(J16-I16=0,100%,IF(ABS(J16-I16)&gt;=ABS(I16),0,ABS(IF(J16&gt;I16,1-((J16-I16)/I16),IF(J16&lt;I16,1-((I16-ABS(J16))/I16),0))))),IF(F16="Stabilize to Zero",IF(AND(J16&lt;=I16,J16&gt;=-I16),ABS(IF(J16&gt;I16,J16-I16,IF(J16&lt;I16,I16-ABS(J16),0)))/ABS(I16),0)))))))),0)</f>
        <v>1.4733326785188092</v>
      </c>
      <c r="M16" s="132">
        <f t="shared" ref="M16:M21" si="0">L16*H16</f>
        <v>0.14733326785188092</v>
      </c>
      <c r="N16" s="133"/>
      <c r="O16" s="134"/>
      <c r="P16" s="135"/>
      <c r="Q16" s="100"/>
      <c r="R16" s="136" t="s">
        <v>39</v>
      </c>
      <c r="S16" s="136"/>
    </row>
    <row r="17" spans="2:19" ht="46.5" customHeight="1" x14ac:dyDescent="0.25">
      <c r="B17" s="443"/>
      <c r="C17" s="444" t="s">
        <v>158</v>
      </c>
      <c r="D17" s="138" t="s">
        <v>2</v>
      </c>
      <c r="E17" s="126" t="s">
        <v>325</v>
      </c>
      <c r="F17" s="127" t="s">
        <v>156</v>
      </c>
      <c r="G17" s="127" t="s">
        <v>157</v>
      </c>
      <c r="H17" s="139">
        <v>0.05</v>
      </c>
      <c r="I17" s="140">
        <f>HLOOKUP(B12,'DB BusDev'!B11:N12,2,0)</f>
        <v>67031</v>
      </c>
      <c r="J17" s="141">
        <f>HLOOKUP(B12,'DB BusDev'!B11:N13,3,0)</f>
        <v>18001.317024999989</v>
      </c>
      <c r="K17" s="142">
        <f t="shared" ref="K17" si="1">IF(F17="Maximize",J17-I17,IF(F17="Minimize",I17-J17,J17-I17))</f>
        <v>-49029.682975000011</v>
      </c>
      <c r="L17" s="131">
        <f t="shared" ref="L17" si="2">IFERROR(IF(AND(F17="Maximize",G17="Unlock"),IF(((J17-I17)/ABS(I17))+1&lt;0,0,((J17-I17)/ABS(I17))+1),IF(AND(F17="Maximize",G17="Lock"),IF(((J17-I17)/ABS(I17))+1&lt;0,0,IF(((J17-I17)/ABS(I17))+1&gt;$M$6,$M$6,((J17-I17)/ABS(I17))+1)),IF(AND(F17="Minimize",G17="Unlock"),IF(((I17-J17)/ABS(I17))+1&lt;0,0,((I17-J17)/ABS(I17))+1),IF(AND(F17="Minimize",G17="Lock"),IF(((I17-J17)/ABS(I17))+1&lt;0,0,IF(((I17-J17)/ABS(I17))+1&gt;$M$6,$M$6,((I17-J17)/ABS(I17))+1)),IF(F17="Min to Zero",IF(J17&gt;I17,0,IF(J17&lt;I17,0,100%)),IF(F17="Stabilize to Target",IF(J17-I17=0,100%,IF(ABS(J17-I17)&gt;=ABS(I17),0,ABS(IF(J17&gt;I17,1-((J17-I17)/I17),IF(J17&lt;I17,1-((I17-ABS(J17))/I17),0))))),IF(F17="Stabilize to Zero",IF(AND(J17&lt;=I17,J17&gt;=-I17),ABS(IF(J17&gt;I17,J17-I17,IF(J17&lt;I17,I17-ABS(J17),0)))/ABS(I17),0)))))))),0)</f>
        <v>0.26855211804985735</v>
      </c>
      <c r="M17" s="143">
        <f t="shared" si="0"/>
        <v>1.3427605902492867E-2</v>
      </c>
      <c r="N17" s="133"/>
      <c r="O17" s="134"/>
      <c r="P17" s="135"/>
      <c r="Q17" s="100"/>
      <c r="R17" s="136" t="s">
        <v>95</v>
      </c>
      <c r="S17" s="136"/>
    </row>
    <row r="18" spans="2:19" ht="24.75" customHeight="1" x14ac:dyDescent="0.25">
      <c r="B18" s="443"/>
      <c r="C18" s="445"/>
      <c r="D18" s="125" t="s">
        <v>219</v>
      </c>
      <c r="E18" s="126" t="s">
        <v>159</v>
      </c>
      <c r="F18" s="127" t="s">
        <v>156</v>
      </c>
      <c r="G18" s="127" t="s">
        <v>157</v>
      </c>
      <c r="H18" s="128">
        <v>0.05</v>
      </c>
      <c r="I18" s="129">
        <f>HLOOKUP(B12,'DB BusDev'!B20:N21,2,0)</f>
        <v>19043</v>
      </c>
      <c r="J18" s="129">
        <f>HLOOKUP(B12,'DB BusDev'!B20:N22,3,0)</f>
        <v>12148.384477999985</v>
      </c>
      <c r="K18" s="130">
        <f>IF(F18="Maximize",J18-I18,IF(F18="Minimize",I18-J18,J18-I18))</f>
        <v>-6894.6155220000146</v>
      </c>
      <c r="L18" s="131">
        <f>IFERROR(IF(AND(F18="Maximize",G18="Unlock"),IF(((J18-I18)/ABS(I18))+1&lt;0,0,((J18-I18)/ABS(I18))+1),IF(AND(F18="Maximize",G18="Lock"),IF(((J18-I18)/ABS(I18))+1&lt;0,0,IF(((J18-I18)/ABS(I18))+1&gt;$M$6,$M$6,((J18-I18)/ABS(I18))+1)),IF(AND(F18="Minimize",G18="Unlock"),IF(((I18-J18)/ABS(I18))+1&lt;0,0,((I18-J18)/ABS(I18))+1),IF(AND(F18="Minimize",G18="Lock"),IF(((I18-J18)/ABS(I18))+1&lt;0,0,IF(((I18-J18)/ABS(I18))+1&gt;$M$6,$M$6,((I18-J18)/ABS(I18))+1)),IF(F18="Min to Zero",IF(J18&gt;I18,0,IF(J18&lt;I18,0,100%)),IF(F18="Stabilize to Target",IF(J18-I18=0,100%,IF(ABS(J18-I18)&gt;=ABS(I18),0,ABS(IF(J18&gt;I18,1-((J18-I18)/I18),IF(J18&lt;I18,1-((I18-ABS(J18))/I18),0))))),IF(F18="Stabilize to Zero",IF(AND(J18&lt;=I18,J18&gt;=-I18),ABS(IF(J18&gt;I18,J18-I18,IF(J18&lt;I18,I18-ABS(J18),0)))/ABS(I18),0)))))))),0)</f>
        <v>0.63794488673003125</v>
      </c>
      <c r="M18" s="132">
        <f t="shared" si="0"/>
        <v>3.1897244336501561E-2</v>
      </c>
      <c r="N18" s="133"/>
      <c r="O18" s="134"/>
      <c r="P18" s="135"/>
      <c r="Q18" s="100"/>
      <c r="R18" s="136"/>
      <c r="S18" s="136"/>
    </row>
    <row r="19" spans="2:19" ht="42.75" customHeight="1" x14ac:dyDescent="0.25">
      <c r="B19" s="443"/>
      <c r="C19" s="450" t="s">
        <v>160</v>
      </c>
      <c r="D19" s="138" t="s">
        <v>262</v>
      </c>
      <c r="E19" s="126" t="s">
        <v>159</v>
      </c>
      <c r="F19" s="127" t="s">
        <v>161</v>
      </c>
      <c r="G19" s="127" t="s">
        <v>157</v>
      </c>
      <c r="H19" s="139">
        <v>0.05</v>
      </c>
      <c r="I19" s="315">
        <f>HLOOKUP(B12,'DB BusDev'!B29:N30,2,0)</f>
        <v>7.4999999999999983E-2</v>
      </c>
      <c r="J19" s="315">
        <f>HLOOKUP(B12,'DB BusDev'!B29:N31,3,0)</f>
        <v>4.2500000000000003E-2</v>
      </c>
      <c r="K19" s="146">
        <f t="shared" ref="K19" si="3">IF(F19="Maximize",J19-I19,IF(F19="Minimize",I19-J19,J19-I19))</f>
        <v>3.249999999999998E-2</v>
      </c>
      <c r="L19" s="131">
        <f t="shared" ref="L19" si="4">IFERROR(IF(AND(F19="Maximize",G19="Unlock"),IF(((J19-I19)/ABS(I19))+1&lt;0,0,((J19-I19)/ABS(I19))+1),IF(AND(F19="Maximize",G19="Lock"),IF(((J19-I19)/ABS(I19))+1&lt;0,0,IF(((J19-I19)/ABS(I19))+1&gt;$M$6,$M$6,((J19-I19)/ABS(I19))+1)),IF(AND(F19="Minimize",G19="Unlock"),IF(((I19-J19)/ABS(I19))+1&lt;0,0,((I19-J19)/ABS(I19))+1),IF(AND(F19="Minimize",G19="Lock"),IF(((I19-J19)/ABS(I19))+1&lt;0,0,IF(((I19-J19)/ABS(I19))+1&gt;$M$6,$M$6,((I19-J19)/ABS(I19))+1)),IF(F19="Min to Zero",IF(J19&gt;I19,0,IF(J19&lt;I19,0,100%)),IF(F19="Stabilize to Target",IF(J19-I19=0,100%,IF(ABS(J19-I19)&gt;=ABS(I19),0,ABS(IF(J19&gt;I19,1-((J19-I19)/I19),IF(J19&lt;I19,1-((I19-ABS(J19))/I19),0))))),IF(F19="Stabilize to Zero",IF(AND(J19&lt;=I19,J19&gt;=-I19),ABS(IF(J19&gt;I19,J19-I19,IF(J19&lt;I19,I19-ABS(J19),0)))/ABS(I19),0)))))))),0)</f>
        <v>1.4333333333333331</v>
      </c>
      <c r="M19" s="143">
        <f t="shared" si="0"/>
        <v>7.1666666666666656E-2</v>
      </c>
      <c r="N19" s="133"/>
      <c r="O19" s="134"/>
      <c r="P19" s="135"/>
      <c r="Q19" s="100"/>
      <c r="S19" s="136"/>
    </row>
    <row r="20" spans="2:19" ht="24.75" customHeight="1" x14ac:dyDescent="0.25">
      <c r="B20" s="443"/>
      <c r="C20" s="451"/>
      <c r="D20" s="125" t="s">
        <v>220</v>
      </c>
      <c r="E20" s="126" t="s">
        <v>159</v>
      </c>
      <c r="F20" s="127" t="s">
        <v>161</v>
      </c>
      <c r="G20" s="127" t="s">
        <v>157</v>
      </c>
      <c r="H20" s="128">
        <v>0.05</v>
      </c>
      <c r="I20" s="275">
        <f>HLOOKUP(B12,'DB BusDev'!B37:N38,2,0)</f>
        <v>0.9</v>
      </c>
      <c r="J20" s="275">
        <f>HLOOKUP(B12,'DB BusDev'!B37:N39,3,0)</f>
        <v>0.94999999999999984</v>
      </c>
      <c r="K20" s="130">
        <f>IF(F20="Maximize",J20-I20,IF(F20="Minimize",I20-J20,J20-I20))</f>
        <v>-4.9999999999999822E-2</v>
      </c>
      <c r="L20" s="131">
        <f>IFERROR(IF(AND(F20="Maximize",G20="Unlock"),IF(((J20-I20)/ABS(I20))+1&lt;0,0,((J20-I20)/ABS(I20))+1),IF(AND(F20="Maximize",G20="Lock"),IF(((J20-I20)/ABS(I20))+1&lt;0,0,IF(((J20-I20)/ABS(I20))+1&gt;$M$6,$M$6,((J20-I20)/ABS(I20))+1)),IF(AND(F20="Minimize",G20="Unlock"),IF(((I20-J20)/ABS(I20))+1&lt;0,0,((I20-J20)/ABS(I20))+1),IF(AND(F20="Minimize",G20="Lock"),IF(((I20-J20)/ABS(I20))+1&lt;0,0,IF(((I20-J20)/ABS(I20))+1&gt;$M$6,$M$6,((I20-J20)/ABS(I20))+1)),IF(F20="Min to Zero",IF(J20&gt;I20,0,IF(J20&lt;I20,0,100%)),IF(F20="Stabilize to Target",IF(J20-I20=0,100%,IF(ABS(J20-I20)&gt;=ABS(I20),0,ABS(IF(J20&gt;I20,1-((J20-I20)/I20),IF(J20&lt;I20,1-((I20-ABS(J20))/I20),0))))),IF(F20="Stabilize to Zero",IF(AND(J20&lt;=I20,J20&gt;=-I20),ABS(IF(J20&gt;I20,J20-I20,IF(J20&lt;I20,I20-ABS(J20),0)))/ABS(I20),0)))))))),0)</f>
        <v>0.94444444444444464</v>
      </c>
      <c r="M20" s="132">
        <f t="shared" si="0"/>
        <v>4.7222222222222235E-2</v>
      </c>
      <c r="N20" s="133"/>
      <c r="O20" s="134"/>
      <c r="P20" s="135"/>
      <c r="Q20" s="100"/>
      <c r="S20" s="136"/>
    </row>
    <row r="21" spans="2:19" ht="39.75" customHeight="1" x14ac:dyDescent="0.25">
      <c r="B21" s="443"/>
      <c r="C21" s="452"/>
      <c r="D21" s="148" t="s">
        <v>263</v>
      </c>
      <c r="E21" s="279" t="s">
        <v>318</v>
      </c>
      <c r="F21" s="127" t="s">
        <v>161</v>
      </c>
      <c r="G21" s="127" t="s">
        <v>157</v>
      </c>
      <c r="H21" s="149">
        <v>0.05</v>
      </c>
      <c r="I21" s="150">
        <f>HLOOKUP(B12,'DB BusDev'!B45:N46,2,0)</f>
        <v>1.1999999999999999E-2</v>
      </c>
      <c r="J21" s="151">
        <f>HLOOKUP(B12,'DB BusDev'!B45:N47,3,0)</f>
        <v>1.025E-2</v>
      </c>
      <c r="K21" s="152">
        <f t="shared" ref="K21" si="5">IF(F21="Maximize",J21-I21,IF(F21="Minimize",I21-J21,J21-I21))</f>
        <v>1.7499999999999981E-3</v>
      </c>
      <c r="L21" s="153">
        <f t="shared" ref="L21" si="6">IFERROR(IF(AND(F21="Maximize",G21="Unlock"),IF(((J21-I21)/ABS(I21))+1&lt;0,0,((J21-I21)/ABS(I21))+1),IF(AND(F21="Maximize",G21="Lock"),IF(((J21-I21)/ABS(I21))+1&lt;0,0,IF(((J21-I21)/ABS(I21))+1&gt;$M$6,$M$6,((J21-I21)/ABS(I21))+1)),IF(AND(F21="Minimize",G21="Unlock"),IF(((I21-J21)/ABS(I21))+1&lt;0,0,((I21-J21)/ABS(I21))+1),IF(AND(F21="Minimize",G21="Lock"),IF(((I21-J21)/ABS(I21))+1&lt;0,0,IF(((I21-J21)/ABS(I21))+1&gt;$M$6,$M$6,((I21-J21)/ABS(I21))+1)),IF(F21="Min to Zero",IF(J21&gt;I21,0,IF(J21&lt;I21,0,100%)),IF(F21="Stabilize to Target",IF(J21-I21=0,100%,IF(ABS(J21-I21)&gt;=ABS(I21),0,ABS(IF(J21&gt;I21,1-((J21-I21)/I21),IF(J21&lt;I21,1-((I21-ABS(J21))/I21),0))))),IF(F21="Stabilize to Zero",IF(AND(J21&lt;=I21,J21&gt;=-I21),ABS(IF(J21&gt;I21,J21-I21,IF(J21&lt;I21,I21-ABS(J21),0)))/ABS(I21),0)))))))),0)</f>
        <v>1.1458333333333333</v>
      </c>
      <c r="M21" s="154">
        <f t="shared" si="0"/>
        <v>5.7291666666666664E-2</v>
      </c>
      <c r="N21" s="133"/>
      <c r="O21" s="134"/>
      <c r="P21" s="135"/>
      <c r="Q21" s="100"/>
      <c r="S21" s="136"/>
    </row>
    <row r="22" spans="2:19" x14ac:dyDescent="0.25">
      <c r="B22" s="443"/>
      <c r="C22" s="446" t="s">
        <v>163</v>
      </c>
      <c r="D22" s="446"/>
      <c r="E22" s="446"/>
      <c r="F22" s="446"/>
      <c r="G22" s="446"/>
      <c r="H22" s="155">
        <f>SUM(H16:H21)</f>
        <v>0.35</v>
      </c>
      <c r="I22" s="156"/>
      <c r="J22" s="156"/>
      <c r="K22" s="156"/>
      <c r="L22" s="156"/>
      <c r="M22" s="157">
        <f>SUM(M16:M21)</f>
        <v>0.36883867364643091</v>
      </c>
      <c r="P22" s="134"/>
      <c r="Q22" s="135"/>
    </row>
    <row r="23" spans="2:19" ht="24.75" customHeight="1" x14ac:dyDescent="0.25">
      <c r="B23" s="447" t="s">
        <v>243</v>
      </c>
      <c r="C23" s="448" t="s">
        <v>164</v>
      </c>
      <c r="D23" s="125" t="s">
        <v>267</v>
      </c>
      <c r="E23" s="126" t="s">
        <v>326</v>
      </c>
      <c r="F23" s="127" t="s">
        <v>156</v>
      </c>
      <c r="G23" s="127" t="s">
        <v>157</v>
      </c>
      <c r="H23" s="128">
        <v>0.05</v>
      </c>
      <c r="I23" s="275">
        <v>1</v>
      </c>
      <c r="J23" s="275"/>
      <c r="K23" s="159">
        <f t="shared" ref="K23:K31" si="7">IF(F23="Maximize",J23-I23,IF(F23="Minimize",I23-J23,J23-I23))</f>
        <v>-1</v>
      </c>
      <c r="L23" s="160">
        <f t="shared" ref="L23:L31" si="8">IFERROR(IF(AND(F23="Maximize",G23="Unlock"),IF(((J23-I23)/ABS(I23))+1&lt;0,0,((J23-I23)/ABS(I23))+1),IF(AND(F23="Maximize",G23="Lock"),IF(((J23-I23)/ABS(I23))+1&lt;0,0,IF(((J23-I23)/ABS(I23))+1&gt;$M$6,$M$6,((J23-I23)/ABS(I23))+1)),IF(AND(F23="Minimize",G23="Unlock"),IF(((I23-J23)/ABS(I23))+1&lt;0,0,((I23-J23)/ABS(I23))+1),IF(AND(F23="Minimize",G23="Lock"),IF(((I23-J23)/ABS(I23))+1&lt;0,0,IF(((I23-J23)/ABS(I23))+1&gt;$M$6,$M$6,((I23-J23)/ABS(I23))+1)),IF(F23="Min to Zero",IF(J23&gt;I23,0,IF(J23&lt;I23,0,100%)),IF(F23="Stabilize to Target",IF(J23-I23=0,100%,IF(ABS(J23-I23)&gt;=ABS(I23),0,ABS(IF(J23&gt;I23,1-((J23-I23)/I23),IF(J23&lt;I23,1-((I23-ABS(J23))/I23),0))))),IF(F23="Stabilize to Zero",IF(AND(J23&lt;=I23,J23&gt;=-I23),ABS(IF(J23&gt;I23,J23-I23,IF(J23&lt;I23,I23-ABS(J23),0)))/ABS(I23),0)))))))),0)</f>
        <v>0</v>
      </c>
      <c r="M23" s="132">
        <f t="shared" ref="M23:M31" si="9">L23*H23</f>
        <v>0</v>
      </c>
    </row>
    <row r="24" spans="2:19" ht="24.75" customHeight="1" x14ac:dyDescent="0.25">
      <c r="B24" s="447"/>
      <c r="C24" s="448"/>
      <c r="D24" s="138" t="s">
        <v>266</v>
      </c>
      <c r="E24" s="126" t="s">
        <v>326</v>
      </c>
      <c r="F24" s="127" t="s">
        <v>156</v>
      </c>
      <c r="G24" s="127" t="s">
        <v>157</v>
      </c>
      <c r="H24" s="139">
        <v>0.04</v>
      </c>
      <c r="I24" s="161">
        <v>4</v>
      </c>
      <c r="J24" s="162"/>
      <c r="K24" s="163">
        <f t="shared" si="7"/>
        <v>-4</v>
      </c>
      <c r="L24" s="160">
        <f t="shared" si="8"/>
        <v>0</v>
      </c>
      <c r="M24" s="143">
        <f t="shared" si="9"/>
        <v>0</v>
      </c>
    </row>
    <row r="25" spans="2:19" ht="57.75" customHeight="1" x14ac:dyDescent="0.25">
      <c r="B25" s="447"/>
      <c r="C25" s="448"/>
      <c r="D25" s="138" t="s">
        <v>8</v>
      </c>
      <c r="E25" s="126" t="s">
        <v>327</v>
      </c>
      <c r="F25" s="127" t="s">
        <v>165</v>
      </c>
      <c r="G25" s="127" t="s">
        <v>157</v>
      </c>
      <c r="H25" s="139">
        <v>0.05</v>
      </c>
      <c r="I25" s="161">
        <f>HLOOKUP(B12,'DB BusDev'!B53:N54,2,0)</f>
        <v>0</v>
      </c>
      <c r="J25" s="162">
        <f>HLOOKUP(B12,'DB BusDev'!B53:N55,3,0)</f>
        <v>0</v>
      </c>
      <c r="K25" s="163">
        <f t="shared" si="7"/>
        <v>0</v>
      </c>
      <c r="L25" s="160">
        <f t="shared" si="8"/>
        <v>1</v>
      </c>
      <c r="M25" s="143">
        <f t="shared" si="9"/>
        <v>0.05</v>
      </c>
    </row>
    <row r="26" spans="2:19" ht="57.75" customHeight="1" x14ac:dyDescent="0.25">
      <c r="B26" s="447"/>
      <c r="C26" s="448"/>
      <c r="D26" s="138" t="s">
        <v>314</v>
      </c>
      <c r="E26" s="126" t="s">
        <v>328</v>
      </c>
      <c r="F26" s="127" t="s">
        <v>165</v>
      </c>
      <c r="G26" s="127" t="s">
        <v>157</v>
      </c>
      <c r="H26" s="139">
        <v>0.05</v>
      </c>
      <c r="I26" s="161">
        <f>HLOOKUP(B12,'DB BusDev'!B61:N62,2,0)</f>
        <v>0</v>
      </c>
      <c r="J26" s="162">
        <f>HLOOKUP(B12,'DB BusDev'!B61:N63,3,0)</f>
        <v>0</v>
      </c>
      <c r="K26" s="163">
        <f t="shared" si="7"/>
        <v>0</v>
      </c>
      <c r="L26" s="160">
        <f t="shared" si="8"/>
        <v>1</v>
      </c>
      <c r="M26" s="143">
        <f t="shared" si="9"/>
        <v>0.05</v>
      </c>
    </row>
    <row r="27" spans="2:19" ht="57.75" customHeight="1" x14ac:dyDescent="0.25">
      <c r="B27" s="447"/>
      <c r="C27" s="445"/>
      <c r="D27" s="138" t="s">
        <v>315</v>
      </c>
      <c r="E27" s="126" t="s">
        <v>328</v>
      </c>
      <c r="F27" s="127" t="s">
        <v>165</v>
      </c>
      <c r="G27" s="127" t="s">
        <v>157</v>
      </c>
      <c r="H27" s="139">
        <v>0.05</v>
      </c>
      <c r="I27" s="161">
        <f>HLOOKUP(B12,'DB BusDev'!B70:N71,2,0)</f>
        <v>0</v>
      </c>
      <c r="J27" s="162">
        <f>HLOOKUP(B12,'DB BusDev'!B70:N72,3,0)</f>
        <v>0</v>
      </c>
      <c r="K27" s="163">
        <f t="shared" si="7"/>
        <v>0</v>
      </c>
      <c r="L27" s="160">
        <f t="shared" si="8"/>
        <v>1</v>
      </c>
      <c r="M27" s="143">
        <f t="shared" si="9"/>
        <v>0.05</v>
      </c>
    </row>
    <row r="28" spans="2:19" ht="24.75" customHeight="1" x14ac:dyDescent="0.25">
      <c r="B28" s="447"/>
      <c r="C28" s="144" t="s">
        <v>166</v>
      </c>
      <c r="D28" s="138" t="s">
        <v>9</v>
      </c>
      <c r="E28" s="126" t="s">
        <v>318</v>
      </c>
      <c r="F28" s="127" t="s">
        <v>156</v>
      </c>
      <c r="G28" s="127" t="s">
        <v>157</v>
      </c>
      <c r="H28" s="139">
        <v>0.02</v>
      </c>
      <c r="I28" s="164">
        <v>0.75</v>
      </c>
      <c r="J28" s="163"/>
      <c r="K28" s="163">
        <f t="shared" si="7"/>
        <v>-0.75</v>
      </c>
      <c r="L28" s="160">
        <f t="shared" si="8"/>
        <v>0</v>
      </c>
      <c r="M28" s="143">
        <f t="shared" si="9"/>
        <v>0</v>
      </c>
    </row>
    <row r="29" spans="2:19" ht="43.5" customHeight="1" x14ac:dyDescent="0.25">
      <c r="B29" s="447"/>
      <c r="C29" s="450" t="s">
        <v>167</v>
      </c>
      <c r="D29" s="148" t="s">
        <v>245</v>
      </c>
      <c r="E29" s="126" t="s">
        <v>318</v>
      </c>
      <c r="F29" s="127" t="s">
        <v>156</v>
      </c>
      <c r="G29" s="127" t="s">
        <v>157</v>
      </c>
      <c r="H29" s="149">
        <v>0.02</v>
      </c>
      <c r="I29" s="158">
        <v>8</v>
      </c>
      <c r="J29" s="301"/>
      <c r="K29" s="165">
        <f t="shared" si="7"/>
        <v>-8</v>
      </c>
      <c r="L29" s="166">
        <f t="shared" si="8"/>
        <v>0</v>
      </c>
      <c r="M29" s="154">
        <f t="shared" si="9"/>
        <v>0</v>
      </c>
    </row>
    <row r="30" spans="2:19" ht="43.5" customHeight="1" x14ac:dyDescent="0.25">
      <c r="B30" s="447"/>
      <c r="C30" s="451"/>
      <c r="D30" s="148" t="s">
        <v>264</v>
      </c>
      <c r="E30" s="126" t="s">
        <v>318</v>
      </c>
      <c r="F30" s="127" t="s">
        <v>161</v>
      </c>
      <c r="G30" s="127" t="s">
        <v>157</v>
      </c>
      <c r="H30" s="149">
        <v>0.02</v>
      </c>
      <c r="I30" s="291">
        <f>HLOOKUP(B12,'DB BusDev'!B79:N83,5,0)</f>
        <v>14</v>
      </c>
      <c r="J30" s="301">
        <f>HLOOKUP(B12,'DB BusDev'!B79:N84,6,0)</f>
        <v>13.914285714285715</v>
      </c>
      <c r="K30" s="165">
        <f t="shared" si="7"/>
        <v>8.571428571428541E-2</v>
      </c>
      <c r="L30" s="166">
        <f t="shared" si="8"/>
        <v>1.0061224489795919</v>
      </c>
      <c r="M30" s="154">
        <f t="shared" si="9"/>
        <v>2.0122448979591839E-2</v>
      </c>
    </row>
    <row r="31" spans="2:19" ht="43.5" customHeight="1" x14ac:dyDescent="0.25">
      <c r="B31" s="447"/>
      <c r="C31" s="452"/>
      <c r="D31" s="148" t="s">
        <v>265</v>
      </c>
      <c r="E31" s="126" t="s">
        <v>318</v>
      </c>
      <c r="F31" s="127" t="s">
        <v>156</v>
      </c>
      <c r="G31" s="127" t="s">
        <v>157</v>
      </c>
      <c r="H31" s="149">
        <v>0.02</v>
      </c>
      <c r="I31" s="158">
        <v>5</v>
      </c>
      <c r="J31" s="301"/>
      <c r="K31" s="165">
        <f t="shared" si="7"/>
        <v>-5</v>
      </c>
      <c r="L31" s="166">
        <f t="shared" si="8"/>
        <v>0</v>
      </c>
      <c r="M31" s="154">
        <f t="shared" si="9"/>
        <v>0</v>
      </c>
    </row>
    <row r="32" spans="2:19" x14ac:dyDescent="0.25">
      <c r="B32" s="447"/>
      <c r="C32" s="449" t="s">
        <v>242</v>
      </c>
      <c r="D32" s="449"/>
      <c r="E32" s="449"/>
      <c r="F32" s="449"/>
      <c r="G32" s="449"/>
      <c r="H32" s="167">
        <f>SUM(H23:H31)</f>
        <v>0.32000000000000006</v>
      </c>
      <c r="I32" s="168"/>
      <c r="J32" s="168"/>
      <c r="K32" s="168"/>
      <c r="L32" s="168"/>
      <c r="M32" s="169">
        <f>SUM(M23:M31)</f>
        <v>0.17012244897959186</v>
      </c>
    </row>
    <row r="33" spans="1:19" ht="34.5" customHeight="1" x14ac:dyDescent="0.25">
      <c r="B33" s="456"/>
      <c r="C33" s="444" t="s">
        <v>268</v>
      </c>
      <c r="D33" s="138" t="s">
        <v>15</v>
      </c>
      <c r="E33" s="126" t="s">
        <v>159</v>
      </c>
      <c r="F33" s="127" t="s">
        <v>161</v>
      </c>
      <c r="G33" s="127" t="s">
        <v>157</v>
      </c>
      <c r="H33" s="139">
        <v>0.02</v>
      </c>
      <c r="I33" s="173">
        <v>1.2E-2</v>
      </c>
      <c r="J33" s="145">
        <v>1.9E-2</v>
      </c>
      <c r="K33" s="174">
        <f t="shared" ref="K33:K47" si="10">IF(F33="Maximize",J33-I33,IF(F33="Minimize",I33-J33,J33-I33))</f>
        <v>-6.9999999999999993E-3</v>
      </c>
      <c r="L33" s="131">
        <f t="shared" ref="L33:L38" si="11">IFERROR(IF(AND(F33="Maximize",G33="Unlock"),IF(((J33-I33)/ABS(I33))+1&lt;0,0,((J33-I33)/ABS(I33))+1),IF(AND(F33="Maximize",G33="Lock"),IF(((J33-I33)/ABS(I33))+1&lt;0,0,IF(((J33-I33)/ABS(I33))+1&gt;$M$6,$M$6,((J33-I33)/ABS(I33))+1)),IF(AND(F33="Minimize",G33="Unlock"),IF(((I33-J33)/ABS(I33))+1&lt;0,0,((I33-J33)/ABS(I33))+1),IF(AND(F33="Minimize",G33="Lock"),IF(((I33-J33)/ABS(I33))+1&lt;0,0,IF(((I33-J33)/ABS(I33))+1&gt;$M$6,$M$6,((I33-J33)/ABS(I33))+1)),IF(F33="Min to Zero",IF(J33&gt;I33,0,IF(J33&lt;I33,0,100%)),IF(F33="Stabilize to Target",IF(J33-I33=0,100%,IF(ABS(J33-I33)&gt;=ABS(I33),0,ABS(IF(J33&gt;I33,1-((J33-I33)/I33),IF(J33&lt;I33,1-((I33-ABS(J33))/I33),0))))),IF(F33="Stabilize to Zero",IF(AND(J33&lt;=I33,J33&gt;=-I33),ABS(IF(J33&gt;I33,J33-I33,IF(J33&lt;I33,I33-ABS(J33),0)))/ABS(I33),0)))))))),0)</f>
        <v>0.41666666666666674</v>
      </c>
      <c r="M33" s="143">
        <f t="shared" ref="M33:M38" si="12">L33*H33</f>
        <v>8.333333333333335E-3</v>
      </c>
    </row>
    <row r="34" spans="1:19" ht="36.75" customHeight="1" x14ac:dyDescent="0.25">
      <c r="A34" s="98" t="s">
        <v>172</v>
      </c>
      <c r="B34" s="456"/>
      <c r="C34" s="448"/>
      <c r="D34" s="148" t="s">
        <v>18</v>
      </c>
      <c r="E34" s="126" t="s">
        <v>159</v>
      </c>
      <c r="F34" s="127" t="s">
        <v>161</v>
      </c>
      <c r="G34" s="127" t="s">
        <v>157</v>
      </c>
      <c r="H34" s="149">
        <v>0.02</v>
      </c>
      <c r="I34" s="176">
        <v>5.0000000000000001E-4</v>
      </c>
      <c r="J34" s="177">
        <v>6.0000000000000002E-5</v>
      </c>
      <c r="K34" s="178">
        <f t="shared" si="10"/>
        <v>4.4000000000000002E-4</v>
      </c>
      <c r="L34" s="131">
        <f t="shared" si="11"/>
        <v>1.5</v>
      </c>
      <c r="M34" s="154">
        <f t="shared" si="12"/>
        <v>0.03</v>
      </c>
    </row>
    <row r="35" spans="1:19" ht="36.75" customHeight="1" x14ac:dyDescent="0.25">
      <c r="A35" s="98" t="s">
        <v>172</v>
      </c>
      <c r="B35" s="456"/>
      <c r="C35" s="448"/>
      <c r="D35" s="148" t="s">
        <v>222</v>
      </c>
      <c r="E35" s="126" t="s">
        <v>159</v>
      </c>
      <c r="F35" s="127" t="s">
        <v>156</v>
      </c>
      <c r="G35" s="127" t="s">
        <v>157</v>
      </c>
      <c r="H35" s="149">
        <v>0.02</v>
      </c>
      <c r="I35" s="275">
        <v>0.98</v>
      </c>
      <c r="J35" s="287"/>
      <c r="K35" s="178">
        <f t="shared" si="10"/>
        <v>-0.98</v>
      </c>
      <c r="L35" s="131">
        <f t="shared" si="11"/>
        <v>0</v>
      </c>
      <c r="M35" s="154">
        <f t="shared" si="12"/>
        <v>0</v>
      </c>
    </row>
    <row r="36" spans="1:19" ht="36.75" customHeight="1" x14ac:dyDescent="0.25">
      <c r="A36" s="98" t="s">
        <v>172</v>
      </c>
      <c r="B36" s="456"/>
      <c r="C36" s="445"/>
      <c r="D36" s="148" t="s">
        <v>223</v>
      </c>
      <c r="E36" s="126" t="s">
        <v>159</v>
      </c>
      <c r="F36" s="127" t="s">
        <v>165</v>
      </c>
      <c r="G36" s="127" t="s">
        <v>157</v>
      </c>
      <c r="H36" s="149">
        <v>0.02</v>
      </c>
      <c r="I36" s="158">
        <v>0</v>
      </c>
      <c r="J36" s="321">
        <v>0</v>
      </c>
      <c r="K36" s="178">
        <f t="shared" si="10"/>
        <v>0</v>
      </c>
      <c r="L36" s="131">
        <f t="shared" si="11"/>
        <v>1</v>
      </c>
      <c r="M36" s="154">
        <f t="shared" si="12"/>
        <v>0.02</v>
      </c>
    </row>
    <row r="37" spans="1:19" ht="42.75" customHeight="1" x14ac:dyDescent="0.25">
      <c r="A37" s="98" t="s">
        <v>172</v>
      </c>
      <c r="B37" s="456"/>
      <c r="C37" s="450" t="s">
        <v>173</v>
      </c>
      <c r="D37" s="148" t="s">
        <v>329</v>
      </c>
      <c r="E37" s="126" t="s">
        <v>155</v>
      </c>
      <c r="F37" s="127" t="s">
        <v>161</v>
      </c>
      <c r="G37" s="127" t="s">
        <v>157</v>
      </c>
      <c r="H37" s="149">
        <v>0.02</v>
      </c>
      <c r="I37" s="158">
        <v>23</v>
      </c>
      <c r="J37" s="321"/>
      <c r="K37" s="178">
        <f t="shared" si="10"/>
        <v>23</v>
      </c>
      <c r="L37" s="153">
        <f t="shared" si="11"/>
        <v>1.5</v>
      </c>
      <c r="M37" s="154">
        <f t="shared" si="12"/>
        <v>0.03</v>
      </c>
    </row>
    <row r="38" spans="1:19" ht="42" customHeight="1" x14ac:dyDescent="0.25">
      <c r="A38" s="98" t="s">
        <v>172</v>
      </c>
      <c r="B38" s="456"/>
      <c r="C38" s="452"/>
      <c r="D38" s="148" t="s">
        <v>330</v>
      </c>
      <c r="E38" s="126" t="s">
        <v>155</v>
      </c>
      <c r="F38" s="127" t="s">
        <v>165</v>
      </c>
      <c r="G38" s="127" t="s">
        <v>157</v>
      </c>
      <c r="H38" s="149">
        <v>0.02</v>
      </c>
      <c r="I38" s="281">
        <v>0</v>
      </c>
      <c r="J38" s="321">
        <v>0</v>
      </c>
      <c r="K38" s="178">
        <f t="shared" si="10"/>
        <v>0</v>
      </c>
      <c r="L38" s="153">
        <f t="shared" si="11"/>
        <v>1</v>
      </c>
      <c r="M38" s="154">
        <f t="shared" si="12"/>
        <v>0.02</v>
      </c>
    </row>
    <row r="39" spans="1:19" x14ac:dyDescent="0.25">
      <c r="B39" s="456"/>
      <c r="C39" s="457" t="s">
        <v>168</v>
      </c>
      <c r="D39" s="457"/>
      <c r="E39" s="457"/>
      <c r="F39" s="457"/>
      <c r="G39" s="457"/>
      <c r="H39" s="179">
        <f>SUM(H33:H38)</f>
        <v>0.12000000000000001</v>
      </c>
      <c r="I39" s="180"/>
      <c r="J39" s="180"/>
      <c r="K39" s="180"/>
      <c r="L39" s="180"/>
      <c r="M39" s="181">
        <f>SUM(M33:M38)</f>
        <v>0.10833333333333334</v>
      </c>
    </row>
    <row r="40" spans="1:19" s="134" customFormat="1" ht="24.75" customHeight="1" x14ac:dyDescent="0.25">
      <c r="B40" s="453" t="s">
        <v>174</v>
      </c>
      <c r="C40" s="448" t="s">
        <v>175</v>
      </c>
      <c r="D40" s="124" t="s">
        <v>20</v>
      </c>
      <c r="E40" s="182" t="s">
        <v>159</v>
      </c>
      <c r="F40" s="127" t="s">
        <v>156</v>
      </c>
      <c r="G40" s="127" t="s">
        <v>157</v>
      </c>
      <c r="H40" s="128">
        <v>0.02</v>
      </c>
      <c r="I40" s="158">
        <v>3</v>
      </c>
      <c r="J40" s="158">
        <v>3</v>
      </c>
      <c r="K40" s="170">
        <f t="shared" ref="K40:K44" si="13">IF(F40="Maximize",J40-I40,IF(F40="Minimize",I40-J40,J40-I40))</f>
        <v>0</v>
      </c>
      <c r="L40" s="131">
        <f t="shared" ref="L40:L47" si="14">IFERROR(IF(AND(F40="Maximize",G40="Unlock"),IF(((J40-I40)/ABS(I40))+1&lt;0,0,((J40-I40)/ABS(I40))+1),IF(AND(F40="Maximize",G40="Lock"),IF(((J40-I40)/ABS(I40))+1&lt;0,0,IF(((J40-I40)/ABS(I40))+1&gt;$M$6,$M$6,((J40-I40)/ABS(I40))+1)),IF(AND(F40="Minimize",G40="Unlock"),IF(((I40-J40)/ABS(I40))+1&lt;0,0,((I40-J40)/ABS(I40))+1),IF(AND(F40="Minimize",G40="Lock"),IF(((I40-J40)/ABS(I40))+1&lt;0,0,IF(((I40-J40)/ABS(I40))+1&gt;$M$6,$M$6,((I40-J40)/ABS(I40))+1)),IF(F40="Min to Zero",IF(J40&gt;I40,0,IF(J40&lt;I40,0,100%)),IF(F40="Stabilize to Target",IF(J40-I40=0,100%,IF(ABS(J40-I40)&gt;=ABS(I40),0,ABS(IF(J40&gt;I40,1-((J40-I40)/I40),IF(J40&lt;I40,1-((I40-ABS(J40))/I40),0))))),IF(F40="Stabilize to Zero",IF(AND(J40&lt;=I40,J40&gt;=-I40),ABS(IF(J40&gt;I40,J40-I40,IF(J40&lt;I40,I40-ABS(J40),0)))/ABS(I40),0)))))))),0)</f>
        <v>1</v>
      </c>
      <c r="M40" s="132">
        <f>L40*H40</f>
        <v>0.02</v>
      </c>
      <c r="Q40" s="99"/>
      <c r="R40" s="100"/>
      <c r="S40" s="99"/>
    </row>
    <row r="41" spans="1:19" s="134" customFormat="1" ht="24.75" customHeight="1" x14ac:dyDescent="0.25">
      <c r="B41" s="453"/>
      <c r="C41" s="448"/>
      <c r="D41" s="137" t="s">
        <v>21</v>
      </c>
      <c r="E41" s="182" t="s">
        <v>159</v>
      </c>
      <c r="F41" s="127" t="s">
        <v>156</v>
      </c>
      <c r="G41" s="127" t="s">
        <v>157</v>
      </c>
      <c r="H41" s="149">
        <v>0.02</v>
      </c>
      <c r="I41" s="163">
        <f>HLOOKUP(B12,'DB BusDev'!B91:N92,2,0)</f>
        <v>0.75</v>
      </c>
      <c r="J41" s="183">
        <f>HLOOKUP(B12,'DB BusDev'!B91:N93,3,0)</f>
        <v>1</v>
      </c>
      <c r="K41" s="184">
        <f t="shared" si="13"/>
        <v>0.25</v>
      </c>
      <c r="L41" s="131">
        <f t="shared" si="14"/>
        <v>1.3333333333333333</v>
      </c>
      <c r="M41" s="143">
        <f t="shared" ref="M41:M42" si="15">L41*H41</f>
        <v>2.6666666666666665E-2</v>
      </c>
      <c r="Q41" s="99"/>
      <c r="R41" s="100"/>
      <c r="S41" s="99"/>
    </row>
    <row r="42" spans="1:19" s="134" customFormat="1" ht="24.75" customHeight="1" x14ac:dyDescent="0.25">
      <c r="B42" s="453"/>
      <c r="C42" s="448"/>
      <c r="D42" s="137" t="s">
        <v>250</v>
      </c>
      <c r="E42" s="182" t="s">
        <v>159</v>
      </c>
      <c r="F42" s="127" t="s">
        <v>165</v>
      </c>
      <c r="G42" s="127" t="s">
        <v>157</v>
      </c>
      <c r="H42" s="149">
        <v>0.02</v>
      </c>
      <c r="I42" s="185">
        <f>HLOOKUP(B12,'DB BusDev'!B99:N100,2,0)</f>
        <v>0</v>
      </c>
      <c r="J42" s="294">
        <f>HLOOKUP(B12,'DB BusDev'!B99:N101,3,0)</f>
        <v>0</v>
      </c>
      <c r="K42" s="184">
        <f t="shared" si="13"/>
        <v>0</v>
      </c>
      <c r="L42" s="131">
        <f t="shared" si="14"/>
        <v>1</v>
      </c>
      <c r="M42" s="143">
        <f t="shared" si="15"/>
        <v>0.02</v>
      </c>
      <c r="Q42" s="99"/>
      <c r="R42" s="100"/>
      <c r="S42" s="99"/>
    </row>
    <row r="43" spans="1:19" s="134" customFormat="1" ht="24.75" customHeight="1" x14ac:dyDescent="0.25">
      <c r="B43" s="453"/>
      <c r="C43" s="448"/>
      <c r="D43" s="137" t="s">
        <v>225</v>
      </c>
      <c r="E43" s="182" t="s">
        <v>159</v>
      </c>
      <c r="F43" s="127" t="s">
        <v>156</v>
      </c>
      <c r="G43" s="127" t="s">
        <v>157</v>
      </c>
      <c r="H43" s="149">
        <v>0.02</v>
      </c>
      <c r="I43" s="163">
        <v>1</v>
      </c>
      <c r="J43" s="183"/>
      <c r="K43" s="184">
        <f t="shared" si="13"/>
        <v>-1</v>
      </c>
      <c r="L43" s="131">
        <f t="shared" si="14"/>
        <v>0</v>
      </c>
      <c r="M43" s="154">
        <f>L43*H43</f>
        <v>0</v>
      </c>
      <c r="Q43" s="99"/>
      <c r="R43" s="100"/>
      <c r="S43" s="99"/>
    </row>
    <row r="44" spans="1:19" s="134" customFormat="1" ht="24.75" customHeight="1" x14ac:dyDescent="0.25">
      <c r="B44" s="453"/>
      <c r="C44" s="445"/>
      <c r="D44" s="137" t="s">
        <v>226</v>
      </c>
      <c r="E44" s="182" t="s">
        <v>159</v>
      </c>
      <c r="F44" s="127" t="s">
        <v>156</v>
      </c>
      <c r="G44" s="127" t="s">
        <v>157</v>
      </c>
      <c r="H44" s="149">
        <v>0.02</v>
      </c>
      <c r="I44" s="163">
        <v>1</v>
      </c>
      <c r="J44" s="183"/>
      <c r="K44" s="184">
        <f t="shared" si="13"/>
        <v>-1</v>
      </c>
      <c r="L44" s="131">
        <f t="shared" si="14"/>
        <v>0</v>
      </c>
      <c r="M44" s="154">
        <f>L44*H44</f>
        <v>0</v>
      </c>
      <c r="Q44" s="99"/>
      <c r="R44" s="100"/>
      <c r="S44" s="99"/>
    </row>
    <row r="45" spans="1:19" s="134" customFormat="1" ht="37.5" customHeight="1" x14ac:dyDescent="0.25">
      <c r="B45" s="453"/>
      <c r="C45" s="444" t="s">
        <v>176</v>
      </c>
      <c r="D45" s="148" t="s">
        <v>272</v>
      </c>
      <c r="E45" s="182" t="s">
        <v>159</v>
      </c>
      <c r="F45" s="127" t="s">
        <v>156</v>
      </c>
      <c r="G45" s="127" t="s">
        <v>157</v>
      </c>
      <c r="H45" s="149">
        <v>0.02</v>
      </c>
      <c r="I45" s="163">
        <v>1</v>
      </c>
      <c r="J45" s="183"/>
      <c r="K45" s="184">
        <f t="shared" si="10"/>
        <v>-1</v>
      </c>
      <c r="L45" s="131">
        <f t="shared" si="14"/>
        <v>0</v>
      </c>
      <c r="M45" s="132">
        <f>L45*H45</f>
        <v>0</v>
      </c>
      <c r="Q45" s="99"/>
      <c r="R45" s="100"/>
      <c r="S45" s="99"/>
    </row>
    <row r="46" spans="1:19" s="134" customFormat="1" ht="40.5" customHeight="1" x14ac:dyDescent="0.25">
      <c r="B46" s="453"/>
      <c r="C46" s="445"/>
      <c r="D46" s="148" t="s">
        <v>273</v>
      </c>
      <c r="E46" s="182" t="s">
        <v>159</v>
      </c>
      <c r="F46" s="127" t="s">
        <v>165</v>
      </c>
      <c r="G46" s="127" t="s">
        <v>157</v>
      </c>
      <c r="H46" s="149">
        <v>0.02</v>
      </c>
      <c r="I46" s="142">
        <f>HLOOKUP(B12,'DB BusDev'!B108:N109,2,0)</f>
        <v>0</v>
      </c>
      <c r="J46" s="294">
        <f>HLOOKUP(B12,'DB BusDev'!B108:N110,3,0)</f>
        <v>0</v>
      </c>
      <c r="K46" s="184">
        <f t="shared" si="10"/>
        <v>0</v>
      </c>
      <c r="L46" s="131">
        <f t="shared" si="14"/>
        <v>1</v>
      </c>
      <c r="M46" s="143">
        <f t="shared" ref="M46:M47" si="16">L46*H46</f>
        <v>0.02</v>
      </c>
      <c r="Q46" s="99"/>
      <c r="R46" s="100"/>
      <c r="S46" s="99"/>
    </row>
    <row r="47" spans="1:19" s="134" customFormat="1" ht="46.5" customHeight="1" x14ac:dyDescent="0.25">
      <c r="B47" s="453"/>
      <c r="C47" s="137" t="s">
        <v>177</v>
      </c>
      <c r="D47" s="148" t="s">
        <v>229</v>
      </c>
      <c r="E47" s="182" t="s">
        <v>159</v>
      </c>
      <c r="F47" s="127" t="s">
        <v>156</v>
      </c>
      <c r="G47" s="127" t="s">
        <v>157</v>
      </c>
      <c r="H47" s="149">
        <v>0.02</v>
      </c>
      <c r="I47" s="163">
        <v>1</v>
      </c>
      <c r="J47" s="183"/>
      <c r="K47" s="172">
        <f t="shared" si="10"/>
        <v>-1</v>
      </c>
      <c r="L47" s="131">
        <f t="shared" si="14"/>
        <v>0</v>
      </c>
      <c r="M47" s="143">
        <f t="shared" si="16"/>
        <v>0</v>
      </c>
      <c r="Q47" s="99"/>
      <c r="R47" s="100"/>
      <c r="S47" s="99"/>
    </row>
    <row r="48" spans="1:19" ht="16.5" thickBot="1" x14ac:dyDescent="0.3">
      <c r="B48" s="454"/>
      <c r="C48" s="455" t="s">
        <v>178</v>
      </c>
      <c r="D48" s="455"/>
      <c r="E48" s="455"/>
      <c r="F48" s="455"/>
      <c r="G48" s="455"/>
      <c r="H48" s="188">
        <f>SUM(H40:H47)</f>
        <v>0.16</v>
      </c>
      <c r="I48" s="189"/>
      <c r="J48" s="189"/>
      <c r="K48" s="189"/>
      <c r="L48" s="189"/>
      <c r="M48" s="190">
        <f>SUM(M40:M47)</f>
        <v>8.666666666666667E-2</v>
      </c>
    </row>
    <row r="49" spans="2:20" s="191" customFormat="1" ht="16.5" thickBot="1" x14ac:dyDescent="0.3">
      <c r="B49" s="192"/>
      <c r="C49" s="458" t="s">
        <v>179</v>
      </c>
      <c r="D49" s="458"/>
      <c r="E49" s="458"/>
      <c r="F49" s="458"/>
      <c r="G49" s="458"/>
      <c r="H49" s="193">
        <f>SUM(H48,H39,H22,H32)</f>
        <v>0.95000000000000007</v>
      </c>
      <c r="I49" s="194"/>
      <c r="J49" s="459" t="s">
        <v>180</v>
      </c>
      <c r="K49" s="460"/>
      <c r="L49" s="461"/>
      <c r="M49" s="195">
        <f>SUM(M16:M21,M33:M38,M40:M47,M23:M31)</f>
        <v>0.73396112262602298</v>
      </c>
      <c r="Q49" s="196"/>
      <c r="R49" s="100"/>
      <c r="S49" s="196"/>
    </row>
    <row r="50" spans="2:20" s="197" customFormat="1" ht="16.5" thickBot="1" x14ac:dyDescent="0.3">
      <c r="B50" s="198"/>
      <c r="C50" s="198"/>
      <c r="D50" s="198"/>
      <c r="E50" s="198"/>
      <c r="F50" s="199"/>
      <c r="G50" s="199"/>
      <c r="H50" s="200"/>
      <c r="I50" s="201"/>
      <c r="J50" s="459" t="s">
        <v>181</v>
      </c>
      <c r="K50" s="460"/>
      <c r="L50" s="460"/>
      <c r="M50" s="202" t="str">
        <f>IF(AND(H49&gt;100%,H49,100%),"Error",IF(M49&gt;=$M$6,"HP",IF(AND(M49&lt;$M$7,M49&gt;=$L$7),"P",IF(AND(M49&lt;$M$8,M49&gt;=$L$8),"T",IF(AND(M49&lt;$M$9,M49&gt;=$L$9),"C",IF(M49&lt;$M$10,"U"))))))</f>
        <v>U</v>
      </c>
      <c r="Q50" s="196"/>
      <c r="R50" s="100"/>
      <c r="S50" s="196"/>
    </row>
    <row r="52" spans="2:20" ht="16.5" thickBot="1" x14ac:dyDescent="0.3"/>
    <row r="53" spans="2:20" ht="32.25" thickBot="1" x14ac:dyDescent="0.3">
      <c r="B53" s="203" t="s">
        <v>137</v>
      </c>
      <c r="C53" s="204" t="s">
        <v>138</v>
      </c>
      <c r="D53" s="204" t="s">
        <v>139</v>
      </c>
      <c r="E53" s="205"/>
      <c r="F53" s="205" t="s">
        <v>141</v>
      </c>
      <c r="G53" s="205" t="s">
        <v>142</v>
      </c>
      <c r="H53" s="206" t="s">
        <v>182</v>
      </c>
      <c r="I53" s="207" t="s">
        <v>183</v>
      </c>
      <c r="J53" s="206" t="s">
        <v>184</v>
      </c>
      <c r="K53" s="206" t="s">
        <v>144</v>
      </c>
      <c r="L53" s="206" t="s">
        <v>185</v>
      </c>
      <c r="M53" s="206" t="s">
        <v>186</v>
      </c>
      <c r="Q53" s="98"/>
      <c r="T53" s="99"/>
    </row>
    <row r="54" spans="2:20" ht="16.5" thickBot="1" x14ac:dyDescent="0.3">
      <c r="B54" s="462" t="s">
        <v>187</v>
      </c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4"/>
      <c r="Q54" s="98"/>
      <c r="T54" s="99"/>
    </row>
    <row r="55" spans="2:20" x14ac:dyDescent="0.25">
      <c r="B55" s="208"/>
      <c r="C55" s="209"/>
      <c r="D55" s="210"/>
      <c r="E55" s="210"/>
      <c r="F55" s="127" t="s">
        <v>156</v>
      </c>
      <c r="G55" s="127" t="s">
        <v>157</v>
      </c>
      <c r="H55" s="210"/>
      <c r="I55" s="211"/>
      <c r="J55" s="212"/>
      <c r="K55" s="212"/>
      <c r="L55" s="213">
        <f t="shared" ref="L55:L57" si="17">IFERROR(IF(AND(F55="Maximize",G55="Unlock"),IF(((J55-I55)/ABS(I55))+1&lt;0,0,((J55-I55)/ABS(I55))+1),IF(AND(F55="Maximize",G55="Lock"),IF(((J55-I55)/ABS(I55))+1&lt;0,0,IF(((J55-I55)/ABS(I55))+1&gt;$M$6,$M$6,((J55-I55)/ABS(I55))+1)),IF(AND(F55="Minimize",G55="Unlock"),IF(((I55-J55)/ABS(I55))+1&lt;0,0,((I55-J55)/ABS(I55))+1),IF(AND(F55="Minimize",G55="Lock"),IF(((I55-J55)/ABS(I55))+1&lt;0,0,IF(((I55-J55)/ABS(I55))+1&gt;$M$6,$M$6,((I55-J55)/ABS(I55))+1)),IF(F55="Min To Zero",IF(J55&gt;I55,0,IF(J55&lt;I55,0,100%))))))),0)</f>
        <v>0</v>
      </c>
      <c r="M55" s="214">
        <f>L55*H55</f>
        <v>0</v>
      </c>
      <c r="Q55" s="98"/>
      <c r="T55" s="99"/>
    </row>
    <row r="56" spans="2:20" x14ac:dyDescent="0.25">
      <c r="B56" s="215"/>
      <c r="C56" s="216"/>
      <c r="D56" s="217"/>
      <c r="E56" s="217"/>
      <c r="F56" s="127" t="s">
        <v>156</v>
      </c>
      <c r="G56" s="127" t="s">
        <v>157</v>
      </c>
      <c r="H56" s="217"/>
      <c r="I56" s="218"/>
      <c r="J56" s="219"/>
      <c r="K56" s="219"/>
      <c r="L56" s="220">
        <f t="shared" si="17"/>
        <v>0</v>
      </c>
      <c r="M56" s="221">
        <f>L56*H56</f>
        <v>0</v>
      </c>
      <c r="Q56" s="98"/>
      <c r="T56" s="99"/>
    </row>
    <row r="57" spans="2:20" ht="16.5" thickBot="1" x14ac:dyDescent="0.3">
      <c r="B57" s="222"/>
      <c r="C57" s="223"/>
      <c r="D57" s="224"/>
      <c r="E57" s="224"/>
      <c r="F57" s="127" t="s">
        <v>156</v>
      </c>
      <c r="G57" s="127" t="s">
        <v>157</v>
      </c>
      <c r="H57" s="224"/>
      <c r="I57" s="225"/>
      <c r="J57" s="226"/>
      <c r="K57" s="226"/>
      <c r="L57" s="227">
        <f t="shared" si="17"/>
        <v>0</v>
      </c>
      <c r="M57" s="228">
        <f>L57*H57</f>
        <v>0</v>
      </c>
      <c r="Q57" s="98"/>
      <c r="T57" s="99"/>
    </row>
    <row r="58" spans="2:20" ht="16.5" thickBot="1" x14ac:dyDescent="0.3">
      <c r="B58" s="465" t="s">
        <v>188</v>
      </c>
      <c r="C58" s="466"/>
      <c r="D58" s="229"/>
      <c r="E58" s="230"/>
      <c r="F58" s="230"/>
      <c r="G58" s="230"/>
      <c r="H58" s="230"/>
      <c r="I58" s="231"/>
      <c r="J58" s="465" t="s">
        <v>145</v>
      </c>
      <c r="K58" s="467"/>
      <c r="L58" s="466"/>
      <c r="M58" s="202">
        <f>SUM(M55:M57)+M49</f>
        <v>0.73396112262602298</v>
      </c>
      <c r="Q58" s="98"/>
      <c r="R58" s="237"/>
      <c r="T58" s="99"/>
    </row>
    <row r="59" spans="2:20" ht="16.5" thickBot="1" x14ac:dyDescent="0.3">
      <c r="B59" s="465" t="s">
        <v>189</v>
      </c>
      <c r="C59" s="466"/>
      <c r="D59" s="232"/>
      <c r="E59" s="233"/>
      <c r="F59" s="233"/>
      <c r="G59" s="233"/>
      <c r="H59" s="233"/>
      <c r="I59" s="234"/>
      <c r="J59" s="465" t="s">
        <v>181</v>
      </c>
      <c r="K59" s="471"/>
      <c r="L59" s="472"/>
      <c r="M59" s="202" t="str">
        <f>IF(M58&gt;=M6,"HP",IF(AND(M58&lt;M7,M58&gt;=L7),"P",IF(AND(M58&lt;M8,M58&gt;=L8),"T",IF(AND(M58&lt;M9,M58&gt;=L9),"C",IF(M58&lt;M10,"U")))))</f>
        <v>U</v>
      </c>
      <c r="Q59" s="98"/>
      <c r="R59" s="238"/>
      <c r="T59" s="99"/>
    </row>
    <row r="60" spans="2:20" x14ac:dyDescent="0.25">
      <c r="R60" s="238"/>
    </row>
    <row r="61" spans="2:20" hidden="1" x14ac:dyDescent="0.25">
      <c r="B61" s="235" t="s">
        <v>190</v>
      </c>
      <c r="C61" s="235"/>
      <c r="D61" s="235"/>
      <c r="E61" s="235"/>
      <c r="F61" s="235"/>
      <c r="G61" s="235"/>
      <c r="H61" s="235"/>
      <c r="I61" s="235"/>
      <c r="J61" s="235"/>
      <c r="K61" s="236"/>
      <c r="L61" s="236"/>
      <c r="M61" s="236"/>
      <c r="N61" s="236"/>
      <c r="O61" s="236"/>
      <c r="P61" s="236"/>
      <c r="Q61" s="236"/>
      <c r="R61" s="238"/>
    </row>
    <row r="62" spans="2:20" hidden="1" x14ac:dyDescent="0.25">
      <c r="B62" s="440" t="s">
        <v>191</v>
      </c>
      <c r="C62" s="474" t="str">
        <f>B61</f>
        <v>KEY BEHAVIOR INDICATOR (BASED CHITOSE CORE VALUE)</v>
      </c>
      <c r="D62" s="474"/>
      <c r="E62" s="474"/>
      <c r="F62" s="474"/>
      <c r="G62" s="474"/>
      <c r="H62" s="474"/>
      <c r="I62" s="474"/>
      <c r="J62" s="474"/>
      <c r="K62" s="474"/>
      <c r="L62" s="475"/>
      <c r="M62" s="485" t="s">
        <v>192</v>
      </c>
      <c r="N62" s="99"/>
      <c r="Q62" s="98"/>
      <c r="R62" s="238"/>
      <c r="S62" s="98"/>
    </row>
    <row r="63" spans="2:20" ht="16.5" hidden="1" thickBot="1" x14ac:dyDescent="0.3">
      <c r="B63" s="441"/>
      <c r="C63" s="534"/>
      <c r="D63" s="534"/>
      <c r="E63" s="534"/>
      <c r="F63" s="534"/>
      <c r="G63" s="534"/>
      <c r="H63" s="534"/>
      <c r="I63" s="534"/>
      <c r="J63" s="534"/>
      <c r="K63" s="534"/>
      <c r="L63" s="535"/>
      <c r="M63" s="536"/>
      <c r="N63" s="99"/>
      <c r="Q63" s="98"/>
      <c r="R63" s="238"/>
      <c r="S63" s="98"/>
    </row>
    <row r="64" spans="2:20" hidden="1" x14ac:dyDescent="0.25">
      <c r="B64" s="239">
        <v>1</v>
      </c>
      <c r="C64" s="537" t="s">
        <v>193</v>
      </c>
      <c r="D64" s="537"/>
      <c r="E64" s="537"/>
      <c r="F64" s="537"/>
      <c r="G64" s="537"/>
      <c r="H64" s="537"/>
      <c r="I64" s="537"/>
      <c r="J64" s="537"/>
      <c r="K64" s="537"/>
      <c r="L64" s="538"/>
      <c r="M64" s="240">
        <v>0</v>
      </c>
      <c r="N64" s="99"/>
      <c r="Q64" s="98"/>
      <c r="R64" s="238"/>
      <c r="S64" s="98"/>
    </row>
    <row r="65" spans="2:19" hidden="1" x14ac:dyDescent="0.25">
      <c r="B65" s="241">
        <v>2</v>
      </c>
      <c r="C65" s="539" t="s">
        <v>194</v>
      </c>
      <c r="D65" s="540"/>
      <c r="E65" s="540"/>
      <c r="F65" s="540"/>
      <c r="G65" s="540"/>
      <c r="H65" s="540"/>
      <c r="I65" s="540"/>
      <c r="J65" s="540"/>
      <c r="K65" s="540"/>
      <c r="L65" s="541"/>
      <c r="M65" s="240">
        <v>0</v>
      </c>
      <c r="N65" s="99"/>
      <c r="Q65" s="98"/>
      <c r="R65" s="238"/>
      <c r="S65" s="98"/>
    </row>
    <row r="66" spans="2:19" hidden="1" x14ac:dyDescent="0.25">
      <c r="B66" s="239">
        <v>3</v>
      </c>
      <c r="C66" s="537" t="s">
        <v>195</v>
      </c>
      <c r="D66" s="537"/>
      <c r="E66" s="537"/>
      <c r="F66" s="537"/>
      <c r="G66" s="537"/>
      <c r="H66" s="537"/>
      <c r="I66" s="537"/>
      <c r="J66" s="537"/>
      <c r="K66" s="537"/>
      <c r="L66" s="538"/>
      <c r="M66" s="240">
        <v>0</v>
      </c>
      <c r="N66" s="99"/>
      <c r="Q66" s="98"/>
      <c r="R66" s="238"/>
      <c r="S66" s="98"/>
    </row>
    <row r="67" spans="2:19" hidden="1" x14ac:dyDescent="0.25">
      <c r="B67" s="241">
        <v>4</v>
      </c>
      <c r="C67" s="539" t="s">
        <v>196</v>
      </c>
      <c r="D67" s="540"/>
      <c r="E67" s="540"/>
      <c r="F67" s="540"/>
      <c r="G67" s="540"/>
      <c r="H67" s="540"/>
      <c r="I67" s="540"/>
      <c r="J67" s="540"/>
      <c r="K67" s="540"/>
      <c r="L67" s="541"/>
      <c r="M67" s="240">
        <v>0</v>
      </c>
      <c r="N67" s="99"/>
      <c r="Q67" s="98"/>
      <c r="R67" s="238"/>
      <c r="S67" s="98"/>
    </row>
    <row r="68" spans="2:19" hidden="1" x14ac:dyDescent="0.25">
      <c r="B68" s="239">
        <v>5</v>
      </c>
      <c r="C68" s="539" t="s">
        <v>197</v>
      </c>
      <c r="D68" s="540"/>
      <c r="E68" s="540"/>
      <c r="F68" s="540"/>
      <c r="G68" s="540"/>
      <c r="H68" s="540"/>
      <c r="I68" s="540"/>
      <c r="J68" s="540"/>
      <c r="K68" s="540"/>
      <c r="L68" s="541"/>
      <c r="M68" s="240">
        <v>0</v>
      </c>
      <c r="N68" s="99"/>
      <c r="Q68" s="98"/>
      <c r="R68" s="251"/>
      <c r="S68" s="98"/>
    </row>
    <row r="69" spans="2:19" ht="16.5" hidden="1" thickBot="1" x14ac:dyDescent="0.3">
      <c r="B69" s="542" t="s">
        <v>198</v>
      </c>
      <c r="C69" s="543"/>
      <c r="D69" s="543"/>
      <c r="E69" s="543"/>
      <c r="F69" s="543"/>
      <c r="G69" s="543"/>
      <c r="H69" s="543"/>
      <c r="I69" s="543"/>
      <c r="J69" s="543"/>
      <c r="K69" s="543"/>
      <c r="L69" s="544"/>
      <c r="M69" s="242"/>
      <c r="N69" s="99"/>
      <c r="O69" s="99"/>
      <c r="Q69" s="98"/>
      <c r="R69" s="238"/>
      <c r="S69" s="98"/>
    </row>
    <row r="70" spans="2:19" ht="16.5" hidden="1" thickBot="1" x14ac:dyDescent="0.3">
      <c r="B70" s="243"/>
      <c r="C70" s="244"/>
      <c r="D70" s="245"/>
      <c r="E70" s="245"/>
      <c r="F70" s="246"/>
      <c r="G70" s="246"/>
      <c r="H70" s="246"/>
      <c r="I70" s="246"/>
      <c r="J70" s="246"/>
      <c r="K70" s="246"/>
      <c r="L70" s="246" t="s">
        <v>199</v>
      </c>
      <c r="M70" s="247">
        <f>AVERAGE(M64:M69)</f>
        <v>0</v>
      </c>
      <c r="N70" s="99"/>
      <c r="O70" s="99"/>
      <c r="Q70" s="98"/>
      <c r="R70" s="238"/>
      <c r="S70" s="98"/>
    </row>
    <row r="71" spans="2:19" x14ac:dyDescent="0.25">
      <c r="B71" s="109"/>
      <c r="C71" s="109"/>
      <c r="D71" s="248"/>
      <c r="E71" s="248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50"/>
      <c r="Q71" s="250"/>
      <c r="R71" s="253"/>
    </row>
    <row r="72" spans="2:19" x14ac:dyDescent="0.25">
      <c r="B72" s="249"/>
      <c r="C72" s="122"/>
      <c r="D72" s="122"/>
      <c r="E72" s="122"/>
      <c r="F72" s="249"/>
      <c r="G72" s="249"/>
      <c r="H72" s="249"/>
      <c r="I72" s="249"/>
      <c r="J72" s="249"/>
      <c r="K72" s="249"/>
      <c r="L72" s="249"/>
      <c r="M72" s="101"/>
      <c r="N72" s="101"/>
      <c r="O72" s="99"/>
      <c r="Q72" s="98"/>
      <c r="R72" s="238"/>
      <c r="S72" s="98"/>
    </row>
    <row r="73" spans="2:19" x14ac:dyDescent="0.25">
      <c r="B73" s="122"/>
      <c r="C73" s="122"/>
      <c r="D73" s="249"/>
      <c r="E73" s="249"/>
      <c r="F73" s="236"/>
      <c r="G73" s="236"/>
      <c r="H73" s="236"/>
      <c r="I73" s="236"/>
      <c r="J73" s="236"/>
      <c r="K73" s="236"/>
      <c r="L73" s="236"/>
      <c r="M73" s="236"/>
      <c r="N73" s="236"/>
      <c r="O73" s="99"/>
      <c r="Q73" s="98"/>
      <c r="R73" s="238"/>
      <c r="S73" s="98"/>
    </row>
    <row r="74" spans="2:19" ht="16.5" thickBot="1" x14ac:dyDescent="0.3">
      <c r="B74" s="248"/>
      <c r="C74" s="248"/>
      <c r="D74" s="252"/>
      <c r="E74" s="252"/>
      <c r="F74" s="248"/>
      <c r="G74" s="248"/>
      <c r="H74" s="248"/>
      <c r="I74" s="248"/>
      <c r="J74" s="248"/>
      <c r="K74" s="248"/>
      <c r="L74" s="248"/>
      <c r="M74" s="248"/>
      <c r="N74" s="248"/>
      <c r="O74" s="252"/>
      <c r="P74" s="248"/>
      <c r="Q74" s="248"/>
      <c r="R74" s="238"/>
    </row>
    <row r="75" spans="2:19" x14ac:dyDescent="0.25">
      <c r="B75" s="468" t="s">
        <v>200</v>
      </c>
      <c r="C75" s="469"/>
      <c r="D75" s="470"/>
      <c r="E75" s="254"/>
      <c r="F75" s="468" t="s">
        <v>201</v>
      </c>
      <c r="G75" s="469"/>
      <c r="H75" s="469"/>
      <c r="I75" s="469"/>
      <c r="J75" s="469"/>
      <c r="K75" s="469"/>
      <c r="L75" s="469"/>
      <c r="M75" s="470"/>
      <c r="N75" s="99"/>
      <c r="Q75" s="98"/>
      <c r="R75" s="238"/>
      <c r="S75" s="98"/>
    </row>
    <row r="76" spans="2:19" x14ac:dyDescent="0.25">
      <c r="B76" s="255" t="s">
        <v>128</v>
      </c>
      <c r="C76" s="256" t="s">
        <v>202</v>
      </c>
      <c r="D76" s="257" t="s">
        <v>133</v>
      </c>
      <c r="E76" s="258"/>
      <c r="F76" s="552" t="s">
        <v>128</v>
      </c>
      <c r="G76" s="553"/>
      <c r="H76" s="554"/>
      <c r="I76" s="555" t="s">
        <v>202</v>
      </c>
      <c r="J76" s="556"/>
      <c r="K76" s="552" t="s">
        <v>133</v>
      </c>
      <c r="L76" s="553"/>
      <c r="M76" s="557"/>
      <c r="N76" s="99"/>
      <c r="Q76" s="98"/>
      <c r="R76" s="238"/>
      <c r="S76" s="98"/>
    </row>
    <row r="77" spans="2:19" x14ac:dyDescent="0.25">
      <c r="B77" s="499">
        <f>C7</f>
        <v>0</v>
      </c>
      <c r="C77" s="502" t="str">
        <f>C8</f>
        <v>Susanto</v>
      </c>
      <c r="D77" s="505">
        <f>C9</f>
        <v>0</v>
      </c>
      <c r="E77" s="259"/>
      <c r="F77" s="508">
        <f>B77</f>
        <v>0</v>
      </c>
      <c r="G77" s="509"/>
      <c r="H77" s="510"/>
      <c r="I77" s="545" t="str">
        <f>C77</f>
        <v>Susanto</v>
      </c>
      <c r="J77" s="546"/>
      <c r="K77" s="508">
        <f>D77</f>
        <v>0</v>
      </c>
      <c r="L77" s="509"/>
      <c r="M77" s="546"/>
      <c r="N77" s="99"/>
      <c r="Q77" s="98"/>
      <c r="R77" s="238"/>
      <c r="S77" s="98"/>
    </row>
    <row r="78" spans="2:19" x14ac:dyDescent="0.25">
      <c r="B78" s="500"/>
      <c r="C78" s="503"/>
      <c r="D78" s="506"/>
      <c r="E78" s="260"/>
      <c r="F78" s="511"/>
      <c r="G78" s="419"/>
      <c r="H78" s="512"/>
      <c r="I78" s="418"/>
      <c r="J78" s="420"/>
      <c r="K78" s="511"/>
      <c r="L78" s="419"/>
      <c r="M78" s="420"/>
      <c r="N78" s="99"/>
      <c r="Q78" s="98"/>
      <c r="R78" s="238"/>
      <c r="S78" s="98"/>
    </row>
    <row r="79" spans="2:19" x14ac:dyDescent="0.25">
      <c r="B79" s="500"/>
      <c r="C79" s="503"/>
      <c r="D79" s="506"/>
      <c r="E79" s="260"/>
      <c r="F79" s="511"/>
      <c r="G79" s="419"/>
      <c r="H79" s="512"/>
      <c r="I79" s="418"/>
      <c r="J79" s="420"/>
      <c r="K79" s="511"/>
      <c r="L79" s="419"/>
      <c r="M79" s="420"/>
      <c r="N79" s="99"/>
      <c r="Q79" s="98"/>
      <c r="S79" s="98"/>
    </row>
    <row r="80" spans="2:19" ht="16.5" thickBot="1" x14ac:dyDescent="0.3">
      <c r="B80" s="501"/>
      <c r="C80" s="504"/>
      <c r="D80" s="507"/>
      <c r="E80" s="261"/>
      <c r="F80" s="513"/>
      <c r="G80" s="514"/>
      <c r="H80" s="515"/>
      <c r="I80" s="547"/>
      <c r="J80" s="548"/>
      <c r="K80" s="513"/>
      <c r="L80" s="514"/>
      <c r="M80" s="548"/>
      <c r="N80" s="99"/>
      <c r="Q80" s="98"/>
      <c r="S80" s="98"/>
    </row>
    <row r="81" spans="2:19" ht="16.5" thickBot="1" x14ac:dyDescent="0.3">
      <c r="B81" s="262" t="s">
        <v>203</v>
      </c>
      <c r="C81" s="263" t="s">
        <v>203</v>
      </c>
      <c r="D81" s="264" t="s">
        <v>203</v>
      </c>
      <c r="E81" s="265"/>
      <c r="F81" s="490" t="s">
        <v>203</v>
      </c>
      <c r="G81" s="491"/>
      <c r="H81" s="549"/>
      <c r="I81" s="550" t="s">
        <v>203</v>
      </c>
      <c r="J81" s="491"/>
      <c r="K81" s="491" t="s">
        <v>203</v>
      </c>
      <c r="L81" s="491"/>
      <c r="M81" s="551"/>
      <c r="N81" s="99"/>
      <c r="Q81" s="98"/>
      <c r="S81" s="98"/>
    </row>
  </sheetData>
  <sheetProtection formatCells="0" formatColumns="0" insertRows="0" deleteRows="0"/>
  <mergeCells count="72">
    <mergeCell ref="B3:M3"/>
    <mergeCell ref="B4:M4"/>
    <mergeCell ref="J5:M5"/>
    <mergeCell ref="B6:B7"/>
    <mergeCell ref="C6:C7"/>
    <mergeCell ref="D6:D7"/>
    <mergeCell ref="E6:H7"/>
    <mergeCell ref="I6:I7"/>
    <mergeCell ref="J6:K6"/>
    <mergeCell ref="J7:K7"/>
    <mergeCell ref="I8:I10"/>
    <mergeCell ref="J8:K8"/>
    <mergeCell ref="J9:K9"/>
    <mergeCell ref="E10:H10"/>
    <mergeCell ref="J10:K10"/>
    <mergeCell ref="G14:G15"/>
    <mergeCell ref="B8:B9"/>
    <mergeCell ref="C8:C9"/>
    <mergeCell ref="D8:D9"/>
    <mergeCell ref="E8:H9"/>
    <mergeCell ref="B14:B15"/>
    <mergeCell ref="C14:C15"/>
    <mergeCell ref="D14:D15"/>
    <mergeCell ref="E14:E15"/>
    <mergeCell ref="F14:F15"/>
    <mergeCell ref="B16:B22"/>
    <mergeCell ref="C17:C18"/>
    <mergeCell ref="C19:C21"/>
    <mergeCell ref="C22:G22"/>
    <mergeCell ref="B23:B32"/>
    <mergeCell ref="C23:C27"/>
    <mergeCell ref="C29:C31"/>
    <mergeCell ref="C32:G32"/>
    <mergeCell ref="B33:B39"/>
    <mergeCell ref="C33:C36"/>
    <mergeCell ref="C37:C38"/>
    <mergeCell ref="C39:G39"/>
    <mergeCell ref="B40:B48"/>
    <mergeCell ref="C40:C44"/>
    <mergeCell ref="C45:C46"/>
    <mergeCell ref="C48:G48"/>
    <mergeCell ref="C49:G49"/>
    <mergeCell ref="J49:L49"/>
    <mergeCell ref="J50:L50"/>
    <mergeCell ref="B54:M54"/>
    <mergeCell ref="B58:C58"/>
    <mergeCell ref="J58:L58"/>
    <mergeCell ref="B75:D75"/>
    <mergeCell ref="F75:M75"/>
    <mergeCell ref="B59:C59"/>
    <mergeCell ref="J59:L59"/>
    <mergeCell ref="B62:B63"/>
    <mergeCell ref="C62:L63"/>
    <mergeCell ref="M62:M63"/>
    <mergeCell ref="C64:L64"/>
    <mergeCell ref="C65:L65"/>
    <mergeCell ref="C66:L66"/>
    <mergeCell ref="C67:L67"/>
    <mergeCell ref="C68:L68"/>
    <mergeCell ref="B69:L69"/>
    <mergeCell ref="B77:B80"/>
    <mergeCell ref="C77:C80"/>
    <mergeCell ref="D77:D80"/>
    <mergeCell ref="F77:H80"/>
    <mergeCell ref="I77:J80"/>
    <mergeCell ref="F81:H81"/>
    <mergeCell ref="I81:J81"/>
    <mergeCell ref="K81:M81"/>
    <mergeCell ref="F76:H76"/>
    <mergeCell ref="I76:J76"/>
    <mergeCell ref="K76:M76"/>
    <mergeCell ref="K77:M80"/>
  </mergeCells>
  <conditionalFormatting sqref="E8 L16:L21 L33:L38 L40:L47">
    <cfRule type="cellIs" dxfId="84" priority="28" operator="greaterThan">
      <formula>1.25</formula>
    </cfRule>
    <cfRule type="cellIs" dxfId="83" priority="36" operator="lessThan">
      <formula>0.8</formula>
    </cfRule>
    <cfRule type="cellIs" dxfId="82" priority="35" operator="equal">
      <formula>0.8</formula>
    </cfRule>
    <cfRule type="cellIs" dxfId="81" priority="34" operator="greaterThan">
      <formula>0.8</formula>
    </cfRule>
    <cfRule type="cellIs" dxfId="80" priority="33" operator="equal">
      <formula>0.95</formula>
    </cfRule>
    <cfRule type="cellIs" dxfId="79" priority="32" operator="greaterThan">
      <formula>0.95</formula>
    </cfRule>
    <cfRule type="cellIs" dxfId="78" priority="31" operator="equal">
      <formula>1.05</formula>
    </cfRule>
    <cfRule type="cellIs" dxfId="77" priority="30" operator="greaterThan">
      <formula>1.05</formula>
    </cfRule>
    <cfRule type="cellIs" dxfId="76" priority="29" operator="equal">
      <formula>1.25</formula>
    </cfRule>
  </conditionalFormatting>
  <conditionalFormatting sqref="E10:E13">
    <cfRule type="containsText" dxfId="75" priority="37" operator="containsText" text="U">
      <formula>NOT(ISERROR(SEARCH("U",E10)))</formula>
    </cfRule>
    <cfRule type="containsText" dxfId="74" priority="38" operator="containsText" text="C">
      <formula>NOT(ISERROR(SEARCH("C",E10)))</formula>
    </cfRule>
    <cfRule type="containsText" dxfId="73" priority="39" operator="containsText" text="T">
      <formula>NOT(ISERROR(SEARCH("T",E10)))</formula>
    </cfRule>
    <cfRule type="containsText" dxfId="72" priority="40" operator="containsText" text="P">
      <formula>NOT(ISERROR(SEARCH("P",E10)))</formula>
    </cfRule>
    <cfRule type="containsText" dxfId="71" priority="41" operator="containsText" text="HP">
      <formula>NOT(ISERROR(SEARCH("HP",E10)))</formula>
    </cfRule>
  </conditionalFormatting>
  <conditionalFormatting sqref="L23:L31">
    <cfRule type="cellIs" dxfId="70" priority="6" operator="equal">
      <formula>0.95</formula>
    </cfRule>
    <cfRule type="cellIs" dxfId="69" priority="7" operator="greaterThan">
      <formula>0.8</formula>
    </cfRule>
    <cfRule type="cellIs" dxfId="68" priority="8" operator="equal">
      <formula>0.8</formula>
    </cfRule>
    <cfRule type="cellIs" dxfId="67" priority="9" operator="lessThan">
      <formula>0.8</formula>
    </cfRule>
    <cfRule type="cellIs" dxfId="66" priority="1" operator="greaterThan">
      <formula>1.25</formula>
    </cfRule>
    <cfRule type="cellIs" dxfId="65" priority="2" operator="equal">
      <formula>1.25</formula>
    </cfRule>
    <cfRule type="cellIs" dxfId="64" priority="3" operator="greaterThan">
      <formula>1.05</formula>
    </cfRule>
    <cfRule type="cellIs" dxfId="63" priority="4" operator="equal">
      <formula>1.05</formula>
    </cfRule>
    <cfRule type="cellIs" dxfId="62" priority="5" operator="greaterThan">
      <formula>0.95</formula>
    </cfRule>
  </conditionalFormatting>
  <conditionalFormatting sqref="L55:L57">
    <cfRule type="cellIs" dxfId="61" priority="23" operator="greaterThan">
      <formula>0.95</formula>
    </cfRule>
    <cfRule type="cellIs" dxfId="60" priority="22" operator="equal">
      <formula>1.05</formula>
    </cfRule>
    <cfRule type="cellIs" dxfId="59" priority="21" operator="greaterThan">
      <formula>1.05</formula>
    </cfRule>
    <cfRule type="cellIs" dxfId="58" priority="20" operator="equal">
      <formula>1.25</formula>
    </cfRule>
    <cfRule type="cellIs" dxfId="57" priority="19" operator="greaterThan">
      <formula>1.25</formula>
    </cfRule>
    <cfRule type="cellIs" dxfId="56" priority="27" operator="lessThan">
      <formula>0.8</formula>
    </cfRule>
    <cfRule type="cellIs" dxfId="55" priority="26" operator="equal">
      <formula>0.8</formula>
    </cfRule>
    <cfRule type="cellIs" dxfId="54" priority="25" operator="greaterThan">
      <formula>0.8</formula>
    </cfRule>
    <cfRule type="cellIs" dxfId="53" priority="24" operator="equal">
      <formula>0.95</formula>
    </cfRule>
  </conditionalFormatting>
  <conditionalFormatting sqref="M53 M55:M57">
    <cfRule type="cellIs" dxfId="52" priority="42" stopIfTrue="1" operator="equal">
      <formula>"U"</formula>
    </cfRule>
    <cfRule type="cellIs" dxfId="51" priority="43" stopIfTrue="1" operator="equal">
      <formula>"HP"</formula>
    </cfRule>
    <cfRule type="cellIs" dxfId="50" priority="44" stopIfTrue="1" operator="equal">
      <formula>"P"</formula>
    </cfRule>
    <cfRule type="cellIs" dxfId="49" priority="45" stopIfTrue="1" operator="equal">
      <formula>"T"</formula>
    </cfRule>
    <cfRule type="cellIs" dxfId="48" priority="46" stopIfTrue="1" operator="equal">
      <formula>"C"</formula>
    </cfRule>
  </conditionalFormatting>
  <dataValidations count="4">
    <dataValidation type="list" allowBlank="1" showInputMessage="1" showErrorMessage="1" sqref="E6:H7" xr:uid="{C86A1657-0E17-45C3-90B3-AE12AE21A731}">
      <formula1>$R$6:$R$7</formula1>
    </dataValidation>
    <dataValidation type="list" allowBlank="1" showInputMessage="1" showErrorMessage="1" sqref="F55:F57 F40:F47 F23:F31 F33:F38 F16:F21" xr:uid="{C9A77D89-BC14-4A5F-A91E-C91EBE98CF08}">
      <formula1>$S$10:$S$14</formula1>
    </dataValidation>
    <dataValidation type="list" allowBlank="1" showInputMessage="1" showErrorMessage="1" sqref="G55:G57 G40:G47 G23:G31 G33:G38 G16:G21" xr:uid="{41DC4E3F-CFC8-4B33-81B6-488C88158D1F}">
      <formula1>$T$10:$T$11</formula1>
    </dataValidation>
    <dataValidation type="list" allowBlank="1" showInputMessage="1" showErrorMessage="1" sqref="B12:B13" xr:uid="{332FFB40-E193-48E1-8660-8029A5BB25C2}">
      <formula1>$R$8:$R$17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9" max="12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2C3D-CE8E-40B4-8A4B-0317FF386FFC}">
  <dimension ref="A1:AC113"/>
  <sheetViews>
    <sheetView topLeftCell="A28" zoomScaleNormal="100" workbookViewId="0">
      <selection activeCell="C11" sqref="C11"/>
    </sheetView>
  </sheetViews>
  <sheetFormatPr defaultRowHeight="15" x14ac:dyDescent="0.25"/>
  <cols>
    <col min="1" max="1" width="24.5703125" bestFit="1" customWidth="1"/>
    <col min="2" max="4" width="10.5703125" bestFit="1" customWidth="1"/>
    <col min="13" max="13" width="10.5703125" bestFit="1" customWidth="1"/>
    <col min="14" max="14" width="16.7109375" bestFit="1" customWidth="1"/>
    <col min="16" max="16" width="26.7109375" bestFit="1" customWidth="1"/>
    <col min="29" max="29" width="16.7109375" bestFit="1" customWidth="1"/>
  </cols>
  <sheetData>
    <row r="1" spans="1:15" x14ac:dyDescent="0.25">
      <c r="A1" s="6" t="s">
        <v>46</v>
      </c>
    </row>
    <row r="2" spans="1:15" x14ac:dyDescent="0.25">
      <c r="A2" s="5" t="s">
        <v>319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95</v>
      </c>
    </row>
    <row r="3" spans="1:15" x14ac:dyDescent="0.25">
      <c r="A3" s="5" t="s">
        <v>41</v>
      </c>
      <c r="B3" s="3">
        <f>40.724/12</f>
        <v>3.3936666666666664</v>
      </c>
      <c r="C3" s="3">
        <f t="shared" ref="C3:M3" si="0">40.724/12</f>
        <v>3.3936666666666664</v>
      </c>
      <c r="D3" s="3">
        <f t="shared" si="0"/>
        <v>3.3936666666666664</v>
      </c>
      <c r="E3" s="3">
        <f t="shared" si="0"/>
        <v>3.3936666666666664</v>
      </c>
      <c r="F3" s="3">
        <f t="shared" si="0"/>
        <v>3.3936666666666664</v>
      </c>
      <c r="G3" s="3">
        <f t="shared" si="0"/>
        <v>3.3936666666666664</v>
      </c>
      <c r="H3" s="3">
        <f t="shared" si="0"/>
        <v>3.3936666666666664</v>
      </c>
      <c r="I3" s="3">
        <f t="shared" si="0"/>
        <v>3.3936666666666664</v>
      </c>
      <c r="J3" s="3">
        <f t="shared" si="0"/>
        <v>3.3936666666666664</v>
      </c>
      <c r="K3" s="3">
        <f t="shared" si="0"/>
        <v>3.3936666666666664</v>
      </c>
      <c r="L3" s="3">
        <f t="shared" si="0"/>
        <v>3.3936666666666664</v>
      </c>
      <c r="M3" s="3">
        <f t="shared" si="0"/>
        <v>3.3936666666666664</v>
      </c>
      <c r="N3" s="3">
        <f>SUM(B3:M3)</f>
        <v>40.724000000000011</v>
      </c>
    </row>
    <row r="4" spans="1:15" x14ac:dyDescent="0.25">
      <c r="A4" s="5" t="s">
        <v>42</v>
      </c>
      <c r="B4" s="3">
        <v>5</v>
      </c>
      <c r="C4" s="3">
        <v>6</v>
      </c>
      <c r="D4" s="3">
        <v>5.5</v>
      </c>
      <c r="E4" s="3">
        <v>5</v>
      </c>
      <c r="F4" s="3">
        <v>5</v>
      </c>
      <c r="G4" s="3">
        <v>4</v>
      </c>
      <c r="H4" s="3">
        <v>5</v>
      </c>
      <c r="I4" s="3">
        <v>3.5</v>
      </c>
      <c r="J4" s="3">
        <v>5</v>
      </c>
      <c r="K4" s="3">
        <v>5</v>
      </c>
      <c r="L4" s="3">
        <v>6</v>
      </c>
      <c r="M4" s="3">
        <v>5</v>
      </c>
      <c r="N4" s="3">
        <f>SUM(B4:M4)</f>
        <v>60</v>
      </c>
    </row>
    <row r="5" spans="1:15" x14ac:dyDescent="0.25">
      <c r="A5" s="5" t="s">
        <v>96</v>
      </c>
      <c r="B5" s="3">
        <f>B4</f>
        <v>5</v>
      </c>
      <c r="C5" s="3">
        <f>SUM($B$4:C$4)</f>
        <v>11</v>
      </c>
      <c r="D5" s="3">
        <f>SUM($B$4:D$4)</f>
        <v>16.5</v>
      </c>
      <c r="E5" s="3">
        <f>SUM($B$4:E$4)</f>
        <v>21.5</v>
      </c>
      <c r="F5" s="3">
        <f>SUM($B$4:F$4)</f>
        <v>26.5</v>
      </c>
      <c r="G5" s="3">
        <f>SUM($B$4:G$4)</f>
        <v>30.5</v>
      </c>
      <c r="H5" s="3">
        <f>SUM($B$4:H$4)</f>
        <v>35.5</v>
      </c>
      <c r="I5" s="3">
        <f>SUM($B$4:I$4)</f>
        <v>39</v>
      </c>
      <c r="J5" s="3">
        <f>SUM($B$4:J$4)</f>
        <v>44</v>
      </c>
      <c r="K5" s="3">
        <f>SUM($B$4:K$4)</f>
        <v>49</v>
      </c>
      <c r="L5" s="3">
        <f>SUM($B$4:L$4)</f>
        <v>55</v>
      </c>
      <c r="M5" s="3">
        <f>SUM($B$4:M$4)</f>
        <v>60</v>
      </c>
      <c r="N5" s="3"/>
    </row>
    <row r="6" spans="1:15" x14ac:dyDescent="0.25">
      <c r="A6" s="5" t="s">
        <v>43</v>
      </c>
      <c r="B6" s="4">
        <f>B4/B3</f>
        <v>1.4733326785188097</v>
      </c>
      <c r="C6" s="4">
        <f t="shared" ref="C6:N6" si="1">C4/C3</f>
        <v>1.7679992142225716</v>
      </c>
      <c r="D6" s="4">
        <f t="shared" si="1"/>
        <v>1.6206659463706907</v>
      </c>
      <c r="E6" s="4">
        <f t="shared" si="1"/>
        <v>1.4733326785188097</v>
      </c>
      <c r="F6" s="4">
        <f t="shared" si="1"/>
        <v>1.4733326785188097</v>
      </c>
      <c r="G6" s="4">
        <f t="shared" si="1"/>
        <v>1.1786661428150478</v>
      </c>
      <c r="H6" s="4">
        <f t="shared" si="1"/>
        <v>1.4733326785188097</v>
      </c>
      <c r="I6" s="4">
        <f t="shared" si="1"/>
        <v>1.0313328749631667</v>
      </c>
      <c r="J6" s="4">
        <f t="shared" si="1"/>
        <v>1.4733326785188097</v>
      </c>
      <c r="K6" s="4">
        <f t="shared" si="1"/>
        <v>1.4733326785188097</v>
      </c>
      <c r="L6" s="4">
        <f t="shared" si="1"/>
        <v>1.7679992142225716</v>
      </c>
      <c r="M6" s="4">
        <f t="shared" si="1"/>
        <v>1.4733326785188097</v>
      </c>
      <c r="N6" s="4">
        <f t="shared" si="1"/>
        <v>1.4733326785188092</v>
      </c>
    </row>
    <row r="7" spans="1:15" x14ac:dyDescent="0.25">
      <c r="A7" s="5" t="s">
        <v>44</v>
      </c>
      <c r="B7" s="4">
        <f>B4/B3</f>
        <v>1.4733326785188097</v>
      </c>
      <c r="C7" s="4">
        <f>SUM($B$4:C$4)/SUM($B$3:C$3)</f>
        <v>1.6206659463706907</v>
      </c>
      <c r="D7" s="4">
        <f>SUM($B$4:D$4)/SUM($B$3:D$3)</f>
        <v>1.6206659463706907</v>
      </c>
      <c r="E7" s="4">
        <f>SUM($B$4:E$4)/SUM($B$3:E$3)</f>
        <v>1.5838326294077203</v>
      </c>
      <c r="F7" s="4">
        <f>SUM($B$4:F$4)/SUM($B$3:F$3)</f>
        <v>1.561732639229938</v>
      </c>
      <c r="G7" s="4">
        <f>SUM($B$4:G$4)/SUM($B$3:G$3)</f>
        <v>1.4978882231607895</v>
      </c>
      <c r="H7" s="4">
        <f>SUM($B$4:H$4)/SUM($B$3:H$3)</f>
        <v>1.4943802882119352</v>
      </c>
      <c r="I7" s="4">
        <f>SUM($B$4:I$4)/SUM($B$3:I$3)</f>
        <v>1.436499361555839</v>
      </c>
      <c r="J7" s="4">
        <f>SUM($B$4:J$4)/SUM($B$3:J$3)</f>
        <v>1.4405919523295023</v>
      </c>
      <c r="K7" s="4">
        <f>SUM($B$4:K$4)/SUM($B$3:K$3)</f>
        <v>1.443866024948433</v>
      </c>
      <c r="L7" s="4">
        <f>SUM($B$4:L$4)/SUM($B$3:L$3)</f>
        <v>1.4733326785188092</v>
      </c>
      <c r="M7" s="4">
        <f>SUM($B$4:M$4)/SUM($B$3:M$3)</f>
        <v>1.4733326785188092</v>
      </c>
      <c r="N7" s="4"/>
      <c r="O7" s="1"/>
    </row>
    <row r="8" spans="1:15" x14ac:dyDescent="0.25">
      <c r="A8" s="303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17"/>
    </row>
    <row r="10" spans="1:15" x14ac:dyDescent="0.25">
      <c r="A10" s="6" t="s">
        <v>46</v>
      </c>
    </row>
    <row r="11" spans="1:15" x14ac:dyDescent="0.25">
      <c r="A11" s="5" t="s">
        <v>45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95</v>
      </c>
    </row>
    <row r="12" spans="1:15" x14ac:dyDescent="0.25">
      <c r="A12" s="5" t="s">
        <v>41</v>
      </c>
      <c r="B12" s="3">
        <f>'Database Corp.'!B12</f>
        <v>4282</v>
      </c>
      <c r="C12" s="3">
        <f>'Database Corp.'!C12</f>
        <v>4333</v>
      </c>
      <c r="D12" s="3">
        <f>'Database Corp.'!D12</f>
        <v>3562</v>
      </c>
      <c r="E12" s="3">
        <f>'Database Corp.'!E12</f>
        <v>2649</v>
      </c>
      <c r="F12" s="3">
        <f>'Database Corp.'!F12</f>
        <v>4925</v>
      </c>
      <c r="G12" s="3">
        <f>'Database Corp.'!G12</f>
        <v>5688</v>
      </c>
      <c r="H12" s="3">
        <f>'Database Corp.'!H12</f>
        <v>5955</v>
      </c>
      <c r="I12" s="3">
        <f>'Database Corp.'!I12</f>
        <v>5704</v>
      </c>
      <c r="J12" s="3">
        <f>'Database Corp.'!J12</f>
        <v>6910</v>
      </c>
      <c r="K12" s="3">
        <f>'Database Corp.'!K12</f>
        <v>6739</v>
      </c>
      <c r="L12" s="3">
        <f>'Database Corp.'!L12</f>
        <v>8250</v>
      </c>
      <c r="M12" s="3">
        <f>'Database Corp.'!M12</f>
        <v>8034</v>
      </c>
      <c r="N12" s="7">
        <f>SUM(B12:M12)</f>
        <v>67031</v>
      </c>
    </row>
    <row r="13" spans="1:15" x14ac:dyDescent="0.25">
      <c r="A13" s="5" t="s">
        <v>42</v>
      </c>
      <c r="B13" s="3">
        <f>'Database Corp.'!B13</f>
        <v>4297.4398750000037</v>
      </c>
      <c r="C13" s="3">
        <f>'Database Corp.'!C13</f>
        <v>4545.469511999996</v>
      </c>
      <c r="D13" s="3">
        <f>'Database Corp.'!D13</f>
        <v>2944.3088299999981</v>
      </c>
      <c r="E13" s="3">
        <f>'Database Corp.'!E13</f>
        <v>2682.0088259999993</v>
      </c>
      <c r="F13" s="3">
        <f>'Database Corp.'!F13</f>
        <v>3532.0899819999941</v>
      </c>
      <c r="G13" s="3">
        <f>'Database Corp.'!G13</f>
        <v>0</v>
      </c>
      <c r="H13" s="3">
        <f>'Database Corp.'!H13</f>
        <v>0</v>
      </c>
      <c r="I13" s="3">
        <f>'Database Corp.'!I13</f>
        <v>0</v>
      </c>
      <c r="J13" s="3">
        <f>'Database Corp.'!J13</f>
        <v>0</v>
      </c>
      <c r="K13" s="3">
        <f>'Database Corp.'!K13</f>
        <v>0</v>
      </c>
      <c r="L13" s="3">
        <f>'Database Corp.'!L13</f>
        <v>0</v>
      </c>
      <c r="M13" s="3">
        <f>'Database Corp.'!M13</f>
        <v>0</v>
      </c>
      <c r="N13" s="7">
        <f>SUM(B13:M13)</f>
        <v>18001.317024999989</v>
      </c>
    </row>
    <row r="14" spans="1:15" x14ac:dyDescent="0.25">
      <c r="A14" s="5" t="s">
        <v>96</v>
      </c>
      <c r="B14" s="3">
        <f>B13</f>
        <v>4297.4398750000037</v>
      </c>
      <c r="C14" s="3">
        <f>SUM($B$13:C$13)</f>
        <v>8842.9093869999997</v>
      </c>
      <c r="D14" s="3">
        <f>SUM($B$13:D$13)</f>
        <v>11787.218216999998</v>
      </c>
      <c r="E14" s="3">
        <f>SUM($B$13:E$13)</f>
        <v>14469.227042999997</v>
      </c>
      <c r="F14" s="3">
        <f>SUM($B$13:F$13)</f>
        <v>18001.317024999989</v>
      </c>
      <c r="G14" s="3">
        <f>SUM($B$13:G$13)</f>
        <v>18001.317024999989</v>
      </c>
      <c r="H14" s="3">
        <f>SUM($B$13:H$13)</f>
        <v>18001.317024999989</v>
      </c>
      <c r="I14" s="3">
        <f>SUM($B$13:I$13)</f>
        <v>18001.317024999989</v>
      </c>
      <c r="J14" s="3">
        <f>SUM($B$13:J$13)</f>
        <v>18001.317024999989</v>
      </c>
      <c r="K14" s="3">
        <f>SUM($B$13:K$13)</f>
        <v>18001.317024999989</v>
      </c>
      <c r="L14" s="3">
        <f>SUM($B$13:L$13)</f>
        <v>18001.317024999989</v>
      </c>
      <c r="M14" s="3">
        <f>SUM($B$13:M$13)</f>
        <v>18001.317024999989</v>
      </c>
      <c r="N14" s="7"/>
    </row>
    <row r="15" spans="1:15" x14ac:dyDescent="0.25">
      <c r="A15" s="5" t="s">
        <v>43</v>
      </c>
      <c r="B15" s="4">
        <f>B13/B12</f>
        <v>1.0036057624941626</v>
      </c>
      <c r="C15" s="4">
        <f t="shared" ref="C15:N15" si="2">C13/C12</f>
        <v>1.0490351977844441</v>
      </c>
      <c r="D15" s="4">
        <f t="shared" si="2"/>
        <v>0.82658866647950535</v>
      </c>
      <c r="E15" s="4">
        <f t="shared" si="2"/>
        <v>1.0124608629671572</v>
      </c>
      <c r="F15" s="4">
        <f t="shared" si="2"/>
        <v>0.717175630862943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0.26855211804985735</v>
      </c>
    </row>
    <row r="16" spans="1:15" x14ac:dyDescent="0.25">
      <c r="A16" s="5" t="s">
        <v>44</v>
      </c>
      <c r="B16" s="4">
        <f>SUM($B$13:B$13)/SUM($B$12:B$12)</f>
        <v>1.0036057624941626</v>
      </c>
      <c r="C16" s="4">
        <f>SUM($B$13:C$13)/SUM($B$12:C$12)</f>
        <v>1.0264549491584445</v>
      </c>
      <c r="D16" s="4">
        <f>SUM($B$13:D$13)/SUM($B$12:D$12)</f>
        <v>0.9679903274205468</v>
      </c>
      <c r="E16" s="4">
        <f>SUM($B$13:E$13)/SUM($B$12:E$12)</f>
        <v>0.97593599372723572</v>
      </c>
      <c r="F16" s="4">
        <f>SUM($B$13:F$13)/SUM($B$12:F$12)</f>
        <v>0.91141294238266368</v>
      </c>
      <c r="G16" s="4">
        <f>SUM($B$13:G$13)/SUM($B$12:G$12)</f>
        <v>0.70762675517905538</v>
      </c>
      <c r="H16" s="4">
        <f>SUM($B$13:H$13)/SUM($B$12:H$12)</f>
        <v>0.5733999179779572</v>
      </c>
      <c r="I16" s="4">
        <f>SUM($B$13:I$13)/SUM($B$12:I$12)</f>
        <v>0.48523685980376274</v>
      </c>
      <c r="J16" s="4">
        <f>SUM($B$13:J$13)/SUM($B$12:J$12)</f>
        <v>0.40904646939192851</v>
      </c>
      <c r="K16" s="4">
        <f>SUM($B$13:K$13)/SUM($B$12:K$12)</f>
        <v>0.35472672325457644</v>
      </c>
      <c r="L16" s="4">
        <f>SUM($B$13:L$13)/SUM($B$12:L$12)</f>
        <v>0.30512258292794531</v>
      </c>
      <c r="M16" s="4">
        <f>SUM($B$13:M$13)/SUM($B$12:M$12)</f>
        <v>0.26855211804985735</v>
      </c>
      <c r="N16" s="4"/>
    </row>
    <row r="19" spans="1:29" x14ac:dyDescent="0.25">
      <c r="A19" s="6" t="s">
        <v>46</v>
      </c>
    </row>
    <row r="20" spans="1:29" x14ac:dyDescent="0.25">
      <c r="A20" s="5" t="s">
        <v>47</v>
      </c>
      <c r="B20" s="5" t="s">
        <v>29</v>
      </c>
      <c r="C20" s="5" t="s">
        <v>30</v>
      </c>
      <c r="D20" s="5" t="s">
        <v>31</v>
      </c>
      <c r="E20" s="5" t="s">
        <v>32</v>
      </c>
      <c r="F20" s="5" t="s">
        <v>33</v>
      </c>
      <c r="G20" s="5" t="s">
        <v>34</v>
      </c>
      <c r="H20" s="5" t="s">
        <v>35</v>
      </c>
      <c r="I20" s="5" t="s">
        <v>36</v>
      </c>
      <c r="J20" s="5" t="s">
        <v>37</v>
      </c>
      <c r="K20" s="5" t="s">
        <v>38</v>
      </c>
      <c r="L20" s="5" t="s">
        <v>39</v>
      </c>
      <c r="M20" s="5" t="s">
        <v>40</v>
      </c>
      <c r="N20" s="5" t="s">
        <v>95</v>
      </c>
    </row>
    <row r="21" spans="1:29" x14ac:dyDescent="0.25">
      <c r="A21" s="5" t="s">
        <v>41</v>
      </c>
      <c r="B21" s="3">
        <f>'Database Corp.'!B21</f>
        <v>-378</v>
      </c>
      <c r="C21" s="3">
        <f>'Database Corp.'!C21</f>
        <v>-331</v>
      </c>
      <c r="D21" s="3">
        <f>'Database Corp.'!D21</f>
        <v>-618</v>
      </c>
      <c r="E21" s="3">
        <f>'Database Corp.'!E21</f>
        <v>1096</v>
      </c>
      <c r="F21" s="3">
        <f>'Database Corp.'!F21</f>
        <v>3106</v>
      </c>
      <c r="G21" s="3">
        <f>'Database Corp.'!G21</f>
        <v>1255</v>
      </c>
      <c r="H21" s="3">
        <f>'Database Corp.'!H21</f>
        <v>1554</v>
      </c>
      <c r="I21" s="3">
        <f>'Database Corp.'!I21</f>
        <v>1330</v>
      </c>
      <c r="J21" s="3">
        <f>'Database Corp.'!J21</f>
        <v>2613</v>
      </c>
      <c r="K21" s="3">
        <f>'Database Corp.'!K21</f>
        <v>2041</v>
      </c>
      <c r="L21" s="3">
        <f>'Database Corp.'!L21</f>
        <v>3601</v>
      </c>
      <c r="M21" s="3">
        <f>'Database Corp.'!M21</f>
        <v>3774</v>
      </c>
      <c r="N21" s="7">
        <f>SUM(B21:M21)</f>
        <v>19043</v>
      </c>
    </row>
    <row r="22" spans="1:29" x14ac:dyDescent="0.25">
      <c r="A22" s="5" t="s">
        <v>42</v>
      </c>
      <c r="B22" s="3">
        <f>'Database Corp.'!B22</f>
        <v>435.96089399999573</v>
      </c>
      <c r="C22" s="3">
        <f>'Database Corp.'!C22</f>
        <v>-616.09659700000157</v>
      </c>
      <c r="D22" s="3">
        <f>'Database Corp.'!D22</f>
        <v>-615.20231200000012</v>
      </c>
      <c r="E22" s="3">
        <f>'Database Corp.'!E22</f>
        <v>6768.7153649999946</v>
      </c>
      <c r="F22" s="3">
        <f>'Database Corp.'!F22</f>
        <v>6175.0071279999956</v>
      </c>
      <c r="G22" s="3">
        <f>'Database Corp.'!G22</f>
        <v>0</v>
      </c>
      <c r="H22" s="3">
        <f>'Database Corp.'!H22</f>
        <v>0</v>
      </c>
      <c r="I22" s="3">
        <f>'Database Corp.'!I22</f>
        <v>0</v>
      </c>
      <c r="J22" s="3">
        <f>'Database Corp.'!J22</f>
        <v>0</v>
      </c>
      <c r="K22" s="3">
        <f>'Database Corp.'!K22</f>
        <v>0</v>
      </c>
      <c r="L22" s="3">
        <f>'Database Corp.'!L22</f>
        <v>0</v>
      </c>
      <c r="M22" s="3">
        <f>'Database Corp.'!M22</f>
        <v>0</v>
      </c>
      <c r="N22" s="7">
        <f>SUM(B22:M22)</f>
        <v>12148.384477999985</v>
      </c>
    </row>
    <row r="23" spans="1:29" x14ac:dyDescent="0.25">
      <c r="A23" s="5" t="s">
        <v>96</v>
      </c>
      <c r="B23" s="3">
        <f>B22</f>
        <v>435.96089399999573</v>
      </c>
      <c r="C23" s="3">
        <f>SUM($B$22:C$22)</f>
        <v>-180.13570300000583</v>
      </c>
      <c r="D23" s="3">
        <f>SUM($B$22:D$22)</f>
        <v>-795.33801500000595</v>
      </c>
      <c r="E23" s="3">
        <f>SUM($B$22:E$22)</f>
        <v>5973.3773499999888</v>
      </c>
      <c r="F23" s="3">
        <f>SUM($B$22:F$22)</f>
        <v>12148.384477999985</v>
      </c>
      <c r="G23" s="3">
        <f>SUM($B$22:G$22)</f>
        <v>12148.384477999985</v>
      </c>
      <c r="H23" s="3">
        <f>SUM($B$22:H$22)</f>
        <v>12148.384477999985</v>
      </c>
      <c r="I23" s="3">
        <f>SUM($B$22:I$22)</f>
        <v>12148.384477999985</v>
      </c>
      <c r="J23" s="3">
        <f>SUM($B$22:J$22)</f>
        <v>12148.384477999985</v>
      </c>
      <c r="K23" s="3">
        <f>SUM($B$22:K$22)</f>
        <v>12148.384477999985</v>
      </c>
      <c r="L23" s="3">
        <f>SUM($B$22:L$22)</f>
        <v>12148.384477999985</v>
      </c>
      <c r="M23" s="3">
        <f>SUM($B$22:M$22)</f>
        <v>12148.384477999985</v>
      </c>
      <c r="N23" s="7"/>
    </row>
    <row r="24" spans="1:29" x14ac:dyDescent="0.25">
      <c r="A24" s="5" t="s">
        <v>43</v>
      </c>
      <c r="B24" s="4">
        <f>B22/B21</f>
        <v>-1.153335698412687</v>
      </c>
      <c r="C24" s="4">
        <f t="shared" ref="C24:N24" si="3">C22/C21</f>
        <v>1.861319024169189</v>
      </c>
      <c r="D24" s="4">
        <f t="shared" si="3"/>
        <v>0.99547299676375423</v>
      </c>
      <c r="E24" s="4">
        <f t="shared" si="3"/>
        <v>6.1758351870437904</v>
      </c>
      <c r="F24" s="4">
        <f t="shared" si="3"/>
        <v>1.9880898673535079</v>
      </c>
      <c r="G24" s="4">
        <f t="shared" si="3"/>
        <v>0</v>
      </c>
      <c r="H24" s="4">
        <f t="shared" si="3"/>
        <v>0</v>
      </c>
      <c r="I24" s="4">
        <f t="shared" si="3"/>
        <v>0</v>
      </c>
      <c r="J24" s="4">
        <f t="shared" si="3"/>
        <v>0</v>
      </c>
      <c r="K24" s="4">
        <f t="shared" si="3"/>
        <v>0</v>
      </c>
      <c r="L24" s="4">
        <f t="shared" si="3"/>
        <v>0</v>
      </c>
      <c r="M24" s="4">
        <f t="shared" si="3"/>
        <v>0</v>
      </c>
      <c r="N24" s="4">
        <f t="shared" si="3"/>
        <v>0.63794488673003125</v>
      </c>
    </row>
    <row r="25" spans="1:29" x14ac:dyDescent="0.25">
      <c r="A25" s="5" t="s">
        <v>44</v>
      </c>
      <c r="B25" s="4">
        <f>SUM($B$22:B$22)/SUM($B$21:B$21)</f>
        <v>-1.153335698412687</v>
      </c>
      <c r="C25" s="4">
        <f>SUM($B$22:C$22)/SUM($B$21:C$21)</f>
        <v>0.25407010296192645</v>
      </c>
      <c r="D25" s="4">
        <f>SUM($B$22:D$22)/SUM($B$21:D$21)</f>
        <v>0.59935042577242348</v>
      </c>
      <c r="E25" s="4">
        <f>SUM($B$22:E$22)/SUM($B$21:E$21)</f>
        <v>-25.85877640692636</v>
      </c>
      <c r="F25" s="4">
        <f>SUM($B$22:F$22)/SUM($B$21:F$21)</f>
        <v>4.2255250358260819</v>
      </c>
      <c r="G25" s="4">
        <f>SUM($B$22:G$22)/SUM($B$21:G$21)</f>
        <v>2.9414974523002386</v>
      </c>
      <c r="H25" s="4">
        <f>SUM($B$22:H$22)/SUM($B$21:H$21)</f>
        <v>2.1372949468683999</v>
      </c>
      <c r="I25" s="4">
        <f>SUM($B$22:I$22)/SUM($B$21:I$21)</f>
        <v>1.7320194579412582</v>
      </c>
      <c r="J25" s="4">
        <f>SUM($B$22:J$22)/SUM($B$21:J$21)</f>
        <v>1.2619076013295922</v>
      </c>
      <c r="K25" s="4">
        <f>SUM($B$22:K$22)/SUM($B$21:K$21)</f>
        <v>1.0411711071306124</v>
      </c>
      <c r="L25" s="4">
        <f>SUM($B$22:L$22)/SUM($B$21:L$21)</f>
        <v>0.79562410622830471</v>
      </c>
      <c r="M25" s="4">
        <f>SUM($B$22:M$22)/SUM($B$21:M$21)</f>
        <v>0.63794488673003125</v>
      </c>
      <c r="N25" s="4"/>
    </row>
    <row r="28" spans="1:29" x14ac:dyDescent="0.25">
      <c r="A28" s="6" t="s">
        <v>46</v>
      </c>
    </row>
    <row r="29" spans="1:29" x14ac:dyDescent="0.25">
      <c r="A29" s="5" t="s">
        <v>48</v>
      </c>
      <c r="B29" s="5" t="s">
        <v>29</v>
      </c>
      <c r="C29" s="5" t="s">
        <v>30</v>
      </c>
      <c r="D29" s="5" t="s">
        <v>31</v>
      </c>
      <c r="E29" s="5" t="s">
        <v>32</v>
      </c>
      <c r="F29" s="5" t="s">
        <v>33</v>
      </c>
      <c r="G29" s="5" t="s">
        <v>34</v>
      </c>
      <c r="H29" s="5" t="s">
        <v>35</v>
      </c>
      <c r="I29" s="5" t="s">
        <v>36</v>
      </c>
      <c r="J29" s="5" t="s">
        <v>37</v>
      </c>
      <c r="K29" s="5" t="s">
        <v>38</v>
      </c>
      <c r="L29" s="5" t="s">
        <v>39</v>
      </c>
      <c r="M29" s="5" t="s">
        <v>40</v>
      </c>
      <c r="N29" s="5" t="s">
        <v>95</v>
      </c>
      <c r="P29" s="5" t="s">
        <v>237</v>
      </c>
      <c r="Q29" s="5" t="s">
        <v>29</v>
      </c>
      <c r="R29" s="5" t="s">
        <v>30</v>
      </c>
      <c r="S29" s="5" t="s">
        <v>31</v>
      </c>
      <c r="T29" s="5" t="s">
        <v>32</v>
      </c>
      <c r="U29" s="5" t="s">
        <v>33</v>
      </c>
      <c r="V29" s="5" t="s">
        <v>34</v>
      </c>
      <c r="W29" s="5" t="s">
        <v>35</v>
      </c>
      <c r="X29" s="5" t="s">
        <v>36</v>
      </c>
      <c r="Y29" s="5" t="s">
        <v>37</v>
      </c>
      <c r="Z29" s="5" t="s">
        <v>38</v>
      </c>
      <c r="AA29" s="5" t="s">
        <v>39</v>
      </c>
      <c r="AB29" s="5" t="s">
        <v>40</v>
      </c>
      <c r="AC29" s="5" t="s">
        <v>95</v>
      </c>
    </row>
    <row r="30" spans="1:29" x14ac:dyDescent="0.25">
      <c r="A30" s="5" t="s">
        <v>41</v>
      </c>
      <c r="B30" s="9">
        <v>7.4999999999999997E-2</v>
      </c>
      <c r="C30" s="9">
        <v>7.4999999999999997E-2</v>
      </c>
      <c r="D30" s="9">
        <v>7.4999999999999997E-2</v>
      </c>
      <c r="E30" s="9">
        <v>7.4999999999999997E-2</v>
      </c>
      <c r="F30" s="9">
        <v>7.4999999999999997E-2</v>
      </c>
      <c r="G30" s="9">
        <v>7.4999999999999997E-2</v>
      </c>
      <c r="H30" s="9">
        <v>7.4999999999999997E-2</v>
      </c>
      <c r="I30" s="9">
        <v>7.4999999999999997E-2</v>
      </c>
      <c r="J30" s="9">
        <v>7.4999999999999997E-2</v>
      </c>
      <c r="K30" s="9">
        <v>7.4999999999999997E-2</v>
      </c>
      <c r="L30" s="9">
        <v>7.4999999999999997E-2</v>
      </c>
      <c r="M30" s="9">
        <v>7.4999999999999997E-2</v>
      </c>
      <c r="N30" s="9">
        <f>AVERAGE(B30:M30)</f>
        <v>7.4999999999999983E-2</v>
      </c>
      <c r="P30" s="5" t="s">
        <v>332</v>
      </c>
      <c r="Q30" s="9">
        <v>0.04</v>
      </c>
      <c r="R30" s="9">
        <v>0.05</v>
      </c>
      <c r="S30" s="9">
        <v>0.06</v>
      </c>
      <c r="T30" s="9">
        <v>0.04</v>
      </c>
      <c r="U30" s="9">
        <v>0.05</v>
      </c>
      <c r="V30" s="9">
        <v>7.4999999999999997E-2</v>
      </c>
      <c r="W30" s="9">
        <v>0.03</v>
      </c>
      <c r="X30" s="9">
        <v>0.02</v>
      </c>
      <c r="Y30" s="9">
        <v>0.01</v>
      </c>
      <c r="Z30" s="9">
        <v>0.05</v>
      </c>
      <c r="AA30" s="9">
        <v>0.04</v>
      </c>
      <c r="AB30" s="9">
        <v>7.4999999999999997E-2</v>
      </c>
      <c r="AC30" s="320">
        <f>AVERAGE(Q30:AB30)</f>
        <v>4.4999999999999991E-2</v>
      </c>
    </row>
    <row r="31" spans="1:29" x14ac:dyDescent="0.25">
      <c r="A31" s="5" t="s">
        <v>42</v>
      </c>
      <c r="B31" s="9">
        <f>Q32</f>
        <v>3.5000000000000003E-2</v>
      </c>
      <c r="C31" s="9">
        <f t="shared" ref="C31:M31" si="4">R32</f>
        <v>3.5000000000000003E-2</v>
      </c>
      <c r="D31" s="9">
        <f t="shared" si="4"/>
        <v>0.06</v>
      </c>
      <c r="E31" s="9">
        <f t="shared" si="4"/>
        <v>0.04</v>
      </c>
      <c r="F31" s="9">
        <f t="shared" si="4"/>
        <v>0.04</v>
      </c>
      <c r="G31" s="9">
        <f t="shared" si="4"/>
        <v>4.7500000000000001E-2</v>
      </c>
      <c r="H31" s="9">
        <f t="shared" si="4"/>
        <v>0.02</v>
      </c>
      <c r="I31" s="9">
        <f t="shared" si="4"/>
        <v>4.5000000000000005E-2</v>
      </c>
      <c r="J31" s="9">
        <f t="shared" si="4"/>
        <v>3.0000000000000002E-2</v>
      </c>
      <c r="K31" s="9">
        <f t="shared" si="4"/>
        <v>5.5E-2</v>
      </c>
      <c r="L31" s="9">
        <f t="shared" si="4"/>
        <v>4.4999999999999998E-2</v>
      </c>
      <c r="M31" s="9">
        <f t="shared" si="4"/>
        <v>5.7499999999999996E-2</v>
      </c>
      <c r="N31" s="9">
        <f>AVERAGE(B31:M31)</f>
        <v>4.2500000000000003E-2</v>
      </c>
      <c r="P31" s="5" t="s">
        <v>333</v>
      </c>
      <c r="Q31" s="9">
        <v>0.03</v>
      </c>
      <c r="R31" s="9">
        <v>0.02</v>
      </c>
      <c r="S31" s="9">
        <v>0.06</v>
      </c>
      <c r="T31" s="9">
        <v>0.04</v>
      </c>
      <c r="U31" s="9">
        <v>0.03</v>
      </c>
      <c r="V31" s="9">
        <v>0.02</v>
      </c>
      <c r="W31" s="9">
        <v>0.01</v>
      </c>
      <c r="X31" s="9">
        <v>7.0000000000000007E-2</v>
      </c>
      <c r="Y31" s="9">
        <v>0.05</v>
      </c>
      <c r="Z31" s="9">
        <v>0.06</v>
      </c>
      <c r="AA31" s="9">
        <v>0.05</v>
      </c>
      <c r="AB31" s="9">
        <v>0.04</v>
      </c>
      <c r="AC31" s="320">
        <f t="shared" ref="AC31" si="5">AVERAGE(Q31:AB31)</f>
        <v>0.04</v>
      </c>
    </row>
    <row r="32" spans="1:29" x14ac:dyDescent="0.25">
      <c r="A32" s="5" t="s">
        <v>43</v>
      </c>
      <c r="B32" s="4">
        <f t="shared" ref="B32:N32" si="6">((B30-B31)/B30)+1</f>
        <v>1.5333333333333332</v>
      </c>
      <c r="C32" s="4">
        <f t="shared" si="6"/>
        <v>1.5333333333333332</v>
      </c>
      <c r="D32" s="4">
        <f t="shared" si="6"/>
        <v>1.2</v>
      </c>
      <c r="E32" s="4">
        <f t="shared" si="6"/>
        <v>1.4666666666666666</v>
      </c>
      <c r="F32" s="4">
        <f t="shared" si="6"/>
        <v>1.4666666666666666</v>
      </c>
      <c r="G32" s="4">
        <f t="shared" si="6"/>
        <v>1.3666666666666667</v>
      </c>
      <c r="H32" s="4">
        <f t="shared" si="6"/>
        <v>1.7333333333333334</v>
      </c>
      <c r="I32" s="4">
        <f t="shared" si="6"/>
        <v>1.4</v>
      </c>
      <c r="J32" s="4">
        <f t="shared" si="6"/>
        <v>1.6</v>
      </c>
      <c r="K32" s="4">
        <f t="shared" si="6"/>
        <v>1.2666666666666666</v>
      </c>
      <c r="L32" s="4">
        <f t="shared" si="6"/>
        <v>1.4</v>
      </c>
      <c r="M32" s="4">
        <f t="shared" si="6"/>
        <v>1.2333333333333334</v>
      </c>
      <c r="N32" s="4">
        <f t="shared" si="6"/>
        <v>1.4333333333333331</v>
      </c>
      <c r="P32" s="5" t="s">
        <v>334</v>
      </c>
      <c r="Q32" s="319">
        <f t="shared" ref="Q32:AC32" si="7">AVERAGE(Q30:Q31)</f>
        <v>3.5000000000000003E-2</v>
      </c>
      <c r="R32" s="319">
        <f t="shared" si="7"/>
        <v>3.5000000000000003E-2</v>
      </c>
      <c r="S32" s="319">
        <f t="shared" si="7"/>
        <v>0.06</v>
      </c>
      <c r="T32" s="319">
        <f t="shared" si="7"/>
        <v>0.04</v>
      </c>
      <c r="U32" s="319">
        <f t="shared" si="7"/>
        <v>0.04</v>
      </c>
      <c r="V32" s="319">
        <f t="shared" si="7"/>
        <v>4.7500000000000001E-2</v>
      </c>
      <c r="W32" s="319">
        <f t="shared" si="7"/>
        <v>0.02</v>
      </c>
      <c r="X32" s="319">
        <f t="shared" si="7"/>
        <v>4.5000000000000005E-2</v>
      </c>
      <c r="Y32" s="319">
        <f t="shared" si="7"/>
        <v>3.0000000000000002E-2</v>
      </c>
      <c r="Z32" s="319">
        <f t="shared" si="7"/>
        <v>5.5E-2</v>
      </c>
      <c r="AA32" s="319">
        <f t="shared" si="7"/>
        <v>4.4999999999999998E-2</v>
      </c>
      <c r="AB32" s="319">
        <f t="shared" si="7"/>
        <v>5.7499999999999996E-2</v>
      </c>
      <c r="AC32" s="319">
        <f t="shared" si="7"/>
        <v>4.2499999999999996E-2</v>
      </c>
    </row>
    <row r="33" spans="1:29" x14ac:dyDescent="0.25">
      <c r="A33" s="5" t="s">
        <v>44</v>
      </c>
      <c r="B33" s="4">
        <f>SUM((($B$30:B$30)-SUM($B$31:B$31))/SUM($B$30:B$30))+1</f>
        <v>1.5333333333333332</v>
      </c>
      <c r="C33" s="4">
        <f>SUM($B$32:C$32)/COUNT($B$32:C$32)</f>
        <v>1.5333333333333332</v>
      </c>
      <c r="D33" s="4">
        <f>SUM($B$32:D$32)/COUNT($B$32:D$32)</f>
        <v>1.4222222222222223</v>
      </c>
      <c r="E33" s="4">
        <f>SUM($B$32:E$32)/COUNT($B$32:E$32)</f>
        <v>1.4333333333333333</v>
      </c>
      <c r="F33" s="4">
        <f>SUM($B$32:F$32)/COUNT($B$32:F$32)</f>
        <v>1.44</v>
      </c>
      <c r="G33" s="4">
        <f>SUM($B$32:G$32)/COUNT($B$32:G$32)</f>
        <v>1.4277777777777778</v>
      </c>
      <c r="H33" s="4">
        <f>SUM($B$32:H$32)/COUNT($B$32:H$32)</f>
        <v>1.4714285714285715</v>
      </c>
      <c r="I33" s="4">
        <f>SUM($B$32:I$32)/COUNT($B$32:I$32)</f>
        <v>1.4625000000000001</v>
      </c>
      <c r="J33" s="4">
        <f>SUM($B$32:J$32)/COUNT($B$32:J$32)</f>
        <v>1.4777777777777779</v>
      </c>
      <c r="K33" s="4">
        <f>SUM($B$32:K$32)/COUNT($B$32:K$32)</f>
        <v>1.4566666666666666</v>
      </c>
      <c r="L33" s="4">
        <f>SUM($B$32:L$32)/COUNT($B$32:L$32)</f>
        <v>1.4515151515151514</v>
      </c>
      <c r="M33" s="4">
        <f>SUM($B$32:M$32)/COUNT($B$32:M$32)</f>
        <v>1.4333333333333333</v>
      </c>
      <c r="N33" s="4"/>
      <c r="P33" s="303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</row>
    <row r="34" spans="1:29" x14ac:dyDescent="0.25">
      <c r="P34" s="303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</row>
    <row r="36" spans="1:29" x14ac:dyDescent="0.25">
      <c r="A36" s="6" t="s">
        <v>46</v>
      </c>
    </row>
    <row r="37" spans="1:29" x14ac:dyDescent="0.25">
      <c r="A37" s="5" t="s">
        <v>215</v>
      </c>
      <c r="B37" s="5" t="s">
        <v>29</v>
      </c>
      <c r="C37" s="5" t="s">
        <v>30</v>
      </c>
      <c r="D37" s="5" t="s">
        <v>31</v>
      </c>
      <c r="E37" s="5" t="s">
        <v>32</v>
      </c>
      <c r="F37" s="5" t="s">
        <v>33</v>
      </c>
      <c r="G37" s="5" t="s">
        <v>34</v>
      </c>
      <c r="H37" s="5" t="s">
        <v>35</v>
      </c>
      <c r="I37" s="5" t="s">
        <v>36</v>
      </c>
      <c r="J37" s="5" t="s">
        <v>37</v>
      </c>
      <c r="K37" s="5" t="s">
        <v>38</v>
      </c>
      <c r="L37" s="5" t="s">
        <v>39</v>
      </c>
      <c r="M37" s="5" t="s">
        <v>40</v>
      </c>
      <c r="N37" s="5" t="s">
        <v>95</v>
      </c>
      <c r="P37" s="5" t="s">
        <v>237</v>
      </c>
      <c r="Q37" s="5" t="s">
        <v>29</v>
      </c>
      <c r="R37" s="5" t="s">
        <v>30</v>
      </c>
      <c r="S37" s="5" t="s">
        <v>31</v>
      </c>
      <c r="T37" s="5" t="s">
        <v>32</v>
      </c>
      <c r="U37" s="5" t="s">
        <v>33</v>
      </c>
      <c r="V37" s="5" t="s">
        <v>34</v>
      </c>
      <c r="W37" s="5" t="s">
        <v>35</v>
      </c>
      <c r="X37" s="5" t="s">
        <v>36</v>
      </c>
      <c r="Y37" s="5" t="s">
        <v>37</v>
      </c>
      <c r="Z37" s="5" t="s">
        <v>38</v>
      </c>
      <c r="AA37" s="5" t="s">
        <v>39</v>
      </c>
      <c r="AB37" s="5" t="s">
        <v>40</v>
      </c>
      <c r="AC37" s="5" t="s">
        <v>95</v>
      </c>
    </row>
    <row r="38" spans="1:29" x14ac:dyDescent="0.25">
      <c r="A38" s="5" t="s">
        <v>41</v>
      </c>
      <c r="B38" s="4">
        <v>0.95</v>
      </c>
      <c r="C38" s="4">
        <v>0.95</v>
      </c>
      <c r="D38" s="4">
        <v>0.95</v>
      </c>
      <c r="E38" s="4">
        <v>0.95</v>
      </c>
      <c r="F38" s="4">
        <v>0.95</v>
      </c>
      <c r="G38" s="4">
        <v>0.95</v>
      </c>
      <c r="H38" s="4">
        <v>0.95</v>
      </c>
      <c r="I38" s="4">
        <v>0.95</v>
      </c>
      <c r="J38" s="4">
        <v>0.95</v>
      </c>
      <c r="K38" s="4">
        <v>0.95</v>
      </c>
      <c r="L38" s="4">
        <v>0.95</v>
      </c>
      <c r="M38" s="4">
        <v>0.95</v>
      </c>
      <c r="N38" s="4">
        <v>0.9</v>
      </c>
      <c r="P38" s="5" t="s">
        <v>332</v>
      </c>
      <c r="Q38" s="4">
        <v>0.95</v>
      </c>
      <c r="R38" s="4">
        <v>0.95</v>
      </c>
      <c r="S38" s="4">
        <v>0.95</v>
      </c>
      <c r="T38" s="4">
        <v>0.95</v>
      </c>
      <c r="U38" s="4">
        <v>0.95</v>
      </c>
      <c r="V38" s="4">
        <v>0.95</v>
      </c>
      <c r="W38" s="4">
        <v>0.95</v>
      </c>
      <c r="X38" s="4">
        <v>0.95</v>
      </c>
      <c r="Y38" s="4">
        <v>0.95</v>
      </c>
      <c r="Z38" s="4">
        <v>0.95</v>
      </c>
      <c r="AA38" s="4">
        <v>0.95</v>
      </c>
      <c r="AB38" s="4">
        <v>0.95</v>
      </c>
      <c r="AC38" s="4">
        <f>AVERAGE(Q38:AB38)</f>
        <v>0.94999999999999984</v>
      </c>
    </row>
    <row r="39" spans="1:29" x14ac:dyDescent="0.25">
      <c r="A39" s="5" t="s">
        <v>42</v>
      </c>
      <c r="B39" s="4">
        <f>Q40</f>
        <v>0.95</v>
      </c>
      <c r="C39" s="4">
        <f t="shared" ref="C39:M39" si="8">R40</f>
        <v>0.95</v>
      </c>
      <c r="D39" s="4">
        <f t="shared" si="8"/>
        <v>0.95</v>
      </c>
      <c r="E39" s="4">
        <f t="shared" si="8"/>
        <v>0.95</v>
      </c>
      <c r="F39" s="4">
        <f t="shared" si="8"/>
        <v>0.95</v>
      </c>
      <c r="G39" s="4">
        <f t="shared" si="8"/>
        <v>0.95</v>
      </c>
      <c r="H39" s="4">
        <f t="shared" si="8"/>
        <v>0.95</v>
      </c>
      <c r="I39" s="4">
        <f t="shared" si="8"/>
        <v>0.95</v>
      </c>
      <c r="J39" s="4">
        <f t="shared" si="8"/>
        <v>0.95</v>
      </c>
      <c r="K39" s="4">
        <f t="shared" si="8"/>
        <v>0.95</v>
      </c>
      <c r="L39" s="4">
        <f t="shared" si="8"/>
        <v>0.95</v>
      </c>
      <c r="M39" s="4">
        <f t="shared" si="8"/>
        <v>0.95</v>
      </c>
      <c r="N39" s="4">
        <f>AVERAGE(B39:M39)</f>
        <v>0.94999999999999984</v>
      </c>
      <c r="P39" s="5" t="s">
        <v>333</v>
      </c>
      <c r="Q39" s="4">
        <v>0.95</v>
      </c>
      <c r="R39" s="4">
        <v>0.95</v>
      </c>
      <c r="S39" s="4">
        <v>0.95</v>
      </c>
      <c r="T39" s="4">
        <v>0.95</v>
      </c>
      <c r="U39" s="4">
        <v>0.95</v>
      </c>
      <c r="V39" s="4">
        <v>0.95</v>
      </c>
      <c r="W39" s="4">
        <v>0.95</v>
      </c>
      <c r="X39" s="4">
        <v>0.95</v>
      </c>
      <c r="Y39" s="4">
        <v>0.95</v>
      </c>
      <c r="Z39" s="4">
        <v>0.95</v>
      </c>
      <c r="AA39" s="4">
        <v>0.95</v>
      </c>
      <c r="AB39" s="4">
        <v>0.95</v>
      </c>
      <c r="AC39" s="4">
        <f t="shared" ref="AC39:AC40" si="9">AVERAGE(Q39:AB39)</f>
        <v>0.94999999999999984</v>
      </c>
    </row>
    <row r="40" spans="1:29" x14ac:dyDescent="0.25">
      <c r="A40" s="5" t="s">
        <v>43</v>
      </c>
      <c r="B40" s="4">
        <f t="shared" ref="B40:N40" si="10">((B38-B39)/B38)+1</f>
        <v>1</v>
      </c>
      <c r="C40" s="4">
        <f t="shared" si="10"/>
        <v>1</v>
      </c>
      <c r="D40" s="4">
        <f t="shared" si="10"/>
        <v>1</v>
      </c>
      <c r="E40" s="4">
        <f t="shared" si="10"/>
        <v>1</v>
      </c>
      <c r="F40" s="4">
        <f t="shared" si="10"/>
        <v>1</v>
      </c>
      <c r="G40" s="4">
        <f t="shared" si="10"/>
        <v>1</v>
      </c>
      <c r="H40" s="4">
        <f t="shared" si="10"/>
        <v>1</v>
      </c>
      <c r="I40" s="4">
        <f t="shared" si="10"/>
        <v>1</v>
      </c>
      <c r="J40" s="4">
        <f t="shared" si="10"/>
        <v>1</v>
      </c>
      <c r="K40" s="4">
        <f t="shared" si="10"/>
        <v>1</v>
      </c>
      <c r="L40" s="4">
        <f t="shared" si="10"/>
        <v>1</v>
      </c>
      <c r="M40" s="4">
        <f t="shared" si="10"/>
        <v>1</v>
      </c>
      <c r="N40" s="4">
        <f t="shared" si="10"/>
        <v>0.94444444444444464</v>
      </c>
      <c r="P40" s="5" t="s">
        <v>334</v>
      </c>
      <c r="Q40" s="310">
        <f t="shared" ref="Q40:AB40" si="11">AVERAGE(Q38:Q39)</f>
        <v>0.95</v>
      </c>
      <c r="R40" s="310">
        <f t="shared" si="11"/>
        <v>0.95</v>
      </c>
      <c r="S40" s="310">
        <f t="shared" si="11"/>
        <v>0.95</v>
      </c>
      <c r="T40" s="310">
        <f t="shared" si="11"/>
        <v>0.95</v>
      </c>
      <c r="U40" s="310">
        <f t="shared" si="11"/>
        <v>0.95</v>
      </c>
      <c r="V40" s="310">
        <f t="shared" si="11"/>
        <v>0.95</v>
      </c>
      <c r="W40" s="310">
        <f t="shared" si="11"/>
        <v>0.95</v>
      </c>
      <c r="X40" s="310">
        <f t="shared" si="11"/>
        <v>0.95</v>
      </c>
      <c r="Y40" s="310">
        <f t="shared" si="11"/>
        <v>0.95</v>
      </c>
      <c r="Z40" s="310">
        <f t="shared" si="11"/>
        <v>0.95</v>
      </c>
      <c r="AA40" s="310">
        <f t="shared" si="11"/>
        <v>0.95</v>
      </c>
      <c r="AB40" s="310">
        <f t="shared" si="11"/>
        <v>0.95</v>
      </c>
      <c r="AC40" s="310">
        <f t="shared" si="9"/>
        <v>0.94999999999999984</v>
      </c>
    </row>
    <row r="41" spans="1:29" x14ac:dyDescent="0.25">
      <c r="A41" s="5" t="s">
        <v>44</v>
      </c>
      <c r="B41" s="4">
        <f>SUM((($B$38:B$38)-SUM($B$39:B$39))/SUM($B$30:B$30))+1</f>
        <v>1</v>
      </c>
      <c r="C41" s="4">
        <f>((SUM($B$38:C$38)-SUM($B$39:C$39))/(SUM($B$30:C$30)))+1</f>
        <v>1</v>
      </c>
      <c r="D41" s="4">
        <f>((SUM($B$38:D$38)-SUM($B$39:D$39))/(SUM($B$30:D$30)))+1</f>
        <v>1</v>
      </c>
      <c r="E41" s="4">
        <f>((SUM($B$38:E$38)-SUM($B$39:E$39))/(SUM($B$30:E$30)))+1</f>
        <v>1</v>
      </c>
      <c r="F41" s="4">
        <f>((SUM($B$38:F$38)-SUM($B$39:F$39))/(SUM($B$30:F$30)))+1</f>
        <v>1</v>
      </c>
      <c r="G41" s="4">
        <f>((SUM($B$38:G$38)-SUM($B$39:G$39))/(SUM($B$30:G$30)))+1</f>
        <v>1</v>
      </c>
      <c r="H41" s="4">
        <f>((SUM($B$38:H$38)-SUM($B$39:H$39))/(SUM($B$30:H$30)))+1</f>
        <v>1</v>
      </c>
      <c r="I41" s="4">
        <f>((SUM($B$38:I$38)-SUM($B$39:I$39))/(SUM($B$30:I$30)))+1</f>
        <v>1</v>
      </c>
      <c r="J41" s="4">
        <f>((SUM($B$38:J$38)-SUM($B$39:J$39))/(SUM($B$30:J$30)))+1</f>
        <v>1</v>
      </c>
      <c r="K41" s="4">
        <f>((SUM($B$38:K$38)-SUM($B$39:K$39))/(SUM($B$30:K$30)))+1</f>
        <v>1</v>
      </c>
      <c r="L41" s="4">
        <f>((SUM($B$38:L$38)-SUM($B$39:L$39))/(SUM($B$30:L$30)))+1</f>
        <v>1</v>
      </c>
      <c r="M41" s="4">
        <f>((SUM($B$38:M$38)-SUM($B$39:M$39))/(SUM($B$30:M$30)))+1</f>
        <v>1</v>
      </c>
      <c r="N41" s="4"/>
    </row>
    <row r="44" spans="1:29" x14ac:dyDescent="0.25">
      <c r="A44" s="6" t="s">
        <v>46</v>
      </c>
    </row>
    <row r="45" spans="1:29" x14ac:dyDescent="0.25">
      <c r="A45" s="5" t="s">
        <v>49</v>
      </c>
      <c r="B45" s="5" t="s">
        <v>29</v>
      </c>
      <c r="C45" s="5" t="s">
        <v>30</v>
      </c>
      <c r="D45" s="5" t="s">
        <v>31</v>
      </c>
      <c r="E45" s="5" t="s">
        <v>32</v>
      </c>
      <c r="F45" s="5" t="s">
        <v>33</v>
      </c>
      <c r="G45" s="5" t="s">
        <v>34</v>
      </c>
      <c r="H45" s="5" t="s">
        <v>35</v>
      </c>
      <c r="I45" s="5" t="s">
        <v>36</v>
      </c>
      <c r="J45" s="5" t="s">
        <v>37</v>
      </c>
      <c r="K45" s="5" t="s">
        <v>38</v>
      </c>
      <c r="L45" s="5" t="s">
        <v>39</v>
      </c>
      <c r="M45" s="5" t="s">
        <v>40</v>
      </c>
      <c r="N45" s="5" t="s">
        <v>95</v>
      </c>
    </row>
    <row r="46" spans="1:29" x14ac:dyDescent="0.25">
      <c r="A46" s="5" t="s">
        <v>41</v>
      </c>
      <c r="B46" s="9">
        <v>1.2E-2</v>
      </c>
      <c r="C46" s="9">
        <v>1.2E-2</v>
      </c>
      <c r="D46" s="9">
        <v>1.2E-2</v>
      </c>
      <c r="E46" s="9">
        <v>1.2E-2</v>
      </c>
      <c r="F46" s="9">
        <v>1.2E-2</v>
      </c>
      <c r="G46" s="9">
        <v>1.2E-2</v>
      </c>
      <c r="H46" s="9">
        <v>1.2E-2</v>
      </c>
      <c r="I46" s="9">
        <v>1.2E-2</v>
      </c>
      <c r="J46" s="9">
        <v>1.2E-2</v>
      </c>
      <c r="K46" s="9">
        <v>1.2E-2</v>
      </c>
      <c r="L46" s="9">
        <v>1.2E-2</v>
      </c>
      <c r="M46" s="9">
        <v>1.2E-2</v>
      </c>
      <c r="N46" s="9">
        <f>AVERAGE(B46:M46)</f>
        <v>1.1999999999999999E-2</v>
      </c>
    </row>
    <row r="47" spans="1:29" x14ac:dyDescent="0.25">
      <c r="A47" s="5" t="s">
        <v>42</v>
      </c>
      <c r="B47" s="9">
        <v>1.2E-2</v>
      </c>
      <c r="C47" s="9">
        <v>1.0999999999999999E-2</v>
      </c>
      <c r="D47" s="9">
        <v>1.2999999999999999E-2</v>
      </c>
      <c r="E47" s="9">
        <v>0.01</v>
      </c>
      <c r="F47" s="9">
        <v>8.9999999999999993E-3</v>
      </c>
      <c r="G47" s="9">
        <v>0.01</v>
      </c>
      <c r="H47" s="9">
        <v>1.4999999999999999E-2</v>
      </c>
      <c r="I47" s="9">
        <v>0.01</v>
      </c>
      <c r="J47" s="9">
        <v>8.0000000000000002E-3</v>
      </c>
      <c r="K47" s="9">
        <v>8.9999999999999993E-3</v>
      </c>
      <c r="L47" s="9">
        <v>7.0000000000000001E-3</v>
      </c>
      <c r="M47" s="9">
        <v>8.9999999999999993E-3</v>
      </c>
      <c r="N47" s="9">
        <f>AVERAGE(B47:M47)</f>
        <v>1.025E-2</v>
      </c>
    </row>
    <row r="48" spans="1:29" x14ac:dyDescent="0.25">
      <c r="A48" s="5" t="s">
        <v>96</v>
      </c>
      <c r="B48" s="9">
        <f>B47</f>
        <v>1.2E-2</v>
      </c>
      <c r="C48" s="9">
        <f>SUM($B$47:C$47)/COUNT($B$47:C$47)</f>
        <v>1.15E-2</v>
      </c>
      <c r="D48" s="9">
        <f>SUM($B$47:D$47)/COUNT($B$47:D$47)</f>
        <v>1.1999999999999999E-2</v>
      </c>
      <c r="E48" s="9">
        <f>SUM($B$47:E$47)/COUNT($B$47:E$47)</f>
        <v>1.15E-2</v>
      </c>
      <c r="F48" s="9">
        <f>SUM($B$47:F$47)/COUNT($B$47:F$47)</f>
        <v>1.0999999999999999E-2</v>
      </c>
      <c r="G48" s="9">
        <f>SUM($B$47:G$47)/COUNT($B$47:G$47)</f>
        <v>1.0833333333333334E-2</v>
      </c>
      <c r="H48" s="9">
        <f>SUM($B$47:H$47)/COUNT($B$47:H$47)</f>
        <v>1.1428571428571429E-2</v>
      </c>
      <c r="I48" s="9">
        <f>SUM($B$47:I$47)/COUNT($B$47:I$47)</f>
        <v>1.125E-2</v>
      </c>
      <c r="J48" s="9">
        <f>SUM($B$47:J$47)/COUNT($B$47:J$47)</f>
        <v>1.0888888888888889E-2</v>
      </c>
      <c r="K48" s="9">
        <f>SUM($B$47:K$47)/COUNT($B$47:K$47)</f>
        <v>1.0699999999999999E-2</v>
      </c>
      <c r="L48" s="9">
        <f>SUM($B$47:L$47)/COUNT($B$47:L$47)</f>
        <v>1.0363636363636365E-2</v>
      </c>
      <c r="M48" s="9">
        <f>SUM($B$47:M$47)/COUNT($B$47:M$47)</f>
        <v>1.025E-2</v>
      </c>
      <c r="N48" s="7"/>
    </row>
    <row r="49" spans="1:14" x14ac:dyDescent="0.25">
      <c r="A49" s="5" t="s">
        <v>43</v>
      </c>
      <c r="B49" s="4">
        <f>B46/B47</f>
        <v>1</v>
      </c>
      <c r="C49" s="4">
        <f t="shared" ref="C49:N49" si="12">C46/C47</f>
        <v>1.0909090909090911</v>
      </c>
      <c r="D49" s="4">
        <f t="shared" si="12"/>
        <v>0.92307692307692313</v>
      </c>
      <c r="E49" s="4">
        <f t="shared" si="12"/>
        <v>1.2</v>
      </c>
      <c r="F49" s="4">
        <f t="shared" si="12"/>
        <v>1.3333333333333335</v>
      </c>
      <c r="G49" s="4">
        <f t="shared" si="12"/>
        <v>1.2</v>
      </c>
      <c r="H49" s="4">
        <f t="shared" si="12"/>
        <v>0.8</v>
      </c>
      <c r="I49" s="4">
        <f t="shared" si="12"/>
        <v>1.2</v>
      </c>
      <c r="J49" s="4">
        <f t="shared" si="12"/>
        <v>1.5</v>
      </c>
      <c r="K49" s="4">
        <f t="shared" si="12"/>
        <v>1.3333333333333335</v>
      </c>
      <c r="L49" s="4">
        <f t="shared" si="12"/>
        <v>1.7142857142857142</v>
      </c>
      <c r="M49" s="4">
        <f t="shared" si="12"/>
        <v>1.3333333333333335</v>
      </c>
      <c r="N49" s="4">
        <f t="shared" si="12"/>
        <v>1.1707317073170729</v>
      </c>
    </row>
    <row r="52" spans="1:14" x14ac:dyDescent="0.25">
      <c r="A52" s="6" t="s">
        <v>50</v>
      </c>
    </row>
    <row r="53" spans="1:14" x14ac:dyDescent="0.25">
      <c r="A53" s="5" t="s">
        <v>287</v>
      </c>
      <c r="B53" s="5" t="s">
        <v>29</v>
      </c>
      <c r="C53" s="5" t="s">
        <v>30</v>
      </c>
      <c r="D53" s="5" t="s">
        <v>31</v>
      </c>
      <c r="E53" s="5" t="s">
        <v>32</v>
      </c>
      <c r="F53" s="5" t="s">
        <v>33</v>
      </c>
      <c r="G53" s="5" t="s">
        <v>34</v>
      </c>
      <c r="H53" s="5" t="s">
        <v>35</v>
      </c>
      <c r="I53" s="5" t="s">
        <v>36</v>
      </c>
      <c r="J53" s="5" t="s">
        <v>37</v>
      </c>
      <c r="K53" s="5" t="s">
        <v>38</v>
      </c>
      <c r="L53" s="5" t="s">
        <v>39</v>
      </c>
      <c r="M53" s="5" t="s">
        <v>40</v>
      </c>
      <c r="N53" s="5" t="s">
        <v>95</v>
      </c>
    </row>
    <row r="54" spans="1:14" x14ac:dyDescent="0.25">
      <c r="A54" s="5" t="s">
        <v>41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7">
        <f>SUM(B54:M54)</f>
        <v>0</v>
      </c>
    </row>
    <row r="55" spans="1:14" x14ac:dyDescent="0.25">
      <c r="A55" s="5" t="s">
        <v>42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7">
        <f>SUM(B55:M55)</f>
        <v>0</v>
      </c>
    </row>
    <row r="56" spans="1:14" x14ac:dyDescent="0.25">
      <c r="A56" s="5" t="s">
        <v>96</v>
      </c>
      <c r="B56" s="3">
        <f>B55</f>
        <v>0</v>
      </c>
      <c r="C56" s="3">
        <f>SUM($B$55:C$55)</f>
        <v>0</v>
      </c>
      <c r="D56" s="3">
        <f>SUM($B$55:D$55)</f>
        <v>0</v>
      </c>
      <c r="E56" s="3">
        <f>SUM($B$55:E$55)</f>
        <v>0</v>
      </c>
      <c r="F56" s="3">
        <f>SUM($B$55:F$55)</f>
        <v>0</v>
      </c>
      <c r="G56" s="3">
        <f>SUM($B$55:G$55)</f>
        <v>0</v>
      </c>
      <c r="H56" s="3">
        <f>SUM($B$55:H$55)</f>
        <v>0</v>
      </c>
      <c r="I56" s="3">
        <f>SUM($B$55:I$55)</f>
        <v>0</v>
      </c>
      <c r="J56" s="3">
        <f>SUM($B$55:J$55)</f>
        <v>0</v>
      </c>
      <c r="K56" s="3">
        <f>SUM($B$55:K$55)</f>
        <v>0</v>
      </c>
      <c r="L56" s="3">
        <f>SUM($B$55:L$55)</f>
        <v>0</v>
      </c>
      <c r="M56" s="3">
        <f>SUM($B$55:M$55)</f>
        <v>0</v>
      </c>
      <c r="N56" s="7"/>
    </row>
    <row r="57" spans="1:14" x14ac:dyDescent="0.25">
      <c r="A57" s="5" t="s">
        <v>43</v>
      </c>
      <c r="B57" s="8">
        <f>IF(B55=0,1,B55/B54)</f>
        <v>1</v>
      </c>
      <c r="C57" s="8">
        <f t="shared" ref="C57:M57" si="13">IF(C55=0,1,C55/C54)</f>
        <v>1</v>
      </c>
      <c r="D57" s="8">
        <f t="shared" si="13"/>
        <v>1</v>
      </c>
      <c r="E57" s="8">
        <f t="shared" si="13"/>
        <v>1</v>
      </c>
      <c r="F57" s="8">
        <f t="shared" si="13"/>
        <v>1</v>
      </c>
      <c r="G57" s="8">
        <f t="shared" si="13"/>
        <v>1</v>
      </c>
      <c r="H57" s="8">
        <f t="shared" si="13"/>
        <v>1</v>
      </c>
      <c r="I57" s="8">
        <f t="shared" si="13"/>
        <v>1</v>
      </c>
      <c r="J57" s="8">
        <f t="shared" si="13"/>
        <v>1</v>
      </c>
      <c r="K57" s="8">
        <f t="shared" si="13"/>
        <v>1</v>
      </c>
      <c r="L57" s="8">
        <f t="shared" si="13"/>
        <v>1</v>
      </c>
      <c r="M57" s="8">
        <f t="shared" si="13"/>
        <v>1</v>
      </c>
      <c r="N57" s="8" t="str">
        <f t="shared" ref="N57" si="14">IF(N55=0,"100%",N55/N54)</f>
        <v>100%</v>
      </c>
    </row>
    <row r="58" spans="1:14" x14ac:dyDescent="0.25">
      <c r="A58" s="5" t="s">
        <v>44</v>
      </c>
      <c r="B58" s="8">
        <f>B57</f>
        <v>1</v>
      </c>
      <c r="C58" s="4">
        <f>SUM($B$57:C$57)/COUNT($B$57:C$57)</f>
        <v>1</v>
      </c>
      <c r="D58" s="4">
        <f>SUM($B$57:D$57)/COUNT($B$57:D$57)</f>
        <v>1</v>
      </c>
      <c r="E58" s="4">
        <f>SUM($B$57:E$57)/COUNT($B$57:E$57)</f>
        <v>1</v>
      </c>
      <c r="F58" s="4">
        <f>SUM($B$57:F$57)/COUNT($B$57:F$57)</f>
        <v>1</v>
      </c>
      <c r="G58" s="4">
        <f>SUM($B$57:G$57)/COUNT($B$57:G$57)</f>
        <v>1</v>
      </c>
      <c r="H58" s="4">
        <f>SUM($B$57:H$57)/COUNT($B$57:H$57)</f>
        <v>1</v>
      </c>
      <c r="I58" s="4">
        <f>SUM($B$57:I$57)/COUNT($B$57:I$57)</f>
        <v>1</v>
      </c>
      <c r="J58" s="4">
        <f>SUM($B$57:J$57)/COUNT($B$57:J$57)</f>
        <v>1</v>
      </c>
      <c r="K58" s="4">
        <f>SUM($B$57:K$57)/COUNT($B$57:K$57)</f>
        <v>1</v>
      </c>
      <c r="L58" s="4">
        <f>SUM($B$57:L$57)/COUNT($B$57:L$57)</f>
        <v>1</v>
      </c>
      <c r="M58" s="4">
        <f>SUM($B$57:M$57)/COUNT($B$57:M$57)</f>
        <v>1</v>
      </c>
      <c r="N58" s="4"/>
    </row>
    <row r="60" spans="1:14" x14ac:dyDescent="0.25">
      <c r="A60" s="6" t="s">
        <v>52</v>
      </c>
    </row>
    <row r="61" spans="1:14" x14ac:dyDescent="0.25">
      <c r="A61" s="5" t="s">
        <v>54</v>
      </c>
      <c r="B61" s="5" t="s">
        <v>29</v>
      </c>
      <c r="C61" s="5" t="s">
        <v>30</v>
      </c>
      <c r="D61" s="5" t="s">
        <v>31</v>
      </c>
      <c r="E61" s="5" t="s">
        <v>32</v>
      </c>
      <c r="F61" s="5" t="s">
        <v>33</v>
      </c>
      <c r="G61" s="5" t="s">
        <v>34</v>
      </c>
      <c r="H61" s="5" t="s">
        <v>35</v>
      </c>
      <c r="I61" s="5" t="s">
        <v>36</v>
      </c>
      <c r="J61" s="5" t="s">
        <v>37</v>
      </c>
      <c r="K61" s="5" t="s">
        <v>38</v>
      </c>
      <c r="L61" s="5" t="s">
        <v>39</v>
      </c>
      <c r="M61" s="5" t="s">
        <v>40</v>
      </c>
      <c r="N61" s="5" t="s">
        <v>95</v>
      </c>
    </row>
    <row r="62" spans="1:14" x14ac:dyDescent="0.25">
      <c r="A62" s="5" t="s">
        <v>41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298">
        <f>SUM(B62:M62)</f>
        <v>0</v>
      </c>
    </row>
    <row r="63" spans="1:14" x14ac:dyDescent="0.25">
      <c r="A63" s="5" t="s">
        <v>42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298">
        <f>SUM(B63:M63)</f>
        <v>0</v>
      </c>
    </row>
    <row r="64" spans="1:14" ht="14.25" customHeight="1" x14ac:dyDescent="0.25">
      <c r="A64" s="5" t="s">
        <v>96</v>
      </c>
      <c r="B64" s="3">
        <f>B63</f>
        <v>0</v>
      </c>
      <c r="C64" s="3">
        <f>SUM($B$63:C$63)</f>
        <v>0</v>
      </c>
      <c r="D64" s="3">
        <f>SUM($B$63:D$63)</f>
        <v>0</v>
      </c>
      <c r="E64" s="3">
        <f>SUM($B$63:E$63)</f>
        <v>0</v>
      </c>
      <c r="F64" s="3">
        <f>SUM($B$63:F$63)</f>
        <v>0</v>
      </c>
      <c r="G64" s="3">
        <f>SUM($B$63:G$63)</f>
        <v>0</v>
      </c>
      <c r="H64" s="3">
        <f>SUM($B$63:H$63)</f>
        <v>0</v>
      </c>
      <c r="I64" s="3">
        <f>SUM($B$63:I$63)</f>
        <v>0</v>
      </c>
      <c r="J64" s="3">
        <f>SUM($B$63:J$63)</f>
        <v>0</v>
      </c>
      <c r="K64" s="3">
        <f>SUM($B$63:K$63)</f>
        <v>0</v>
      </c>
      <c r="L64" s="3">
        <f>SUM($B$63:L$63)</f>
        <v>0</v>
      </c>
      <c r="M64" s="3">
        <f>SUM($B$63:M$63)</f>
        <v>0</v>
      </c>
      <c r="N64" s="7"/>
    </row>
    <row r="65" spans="1:29" x14ac:dyDescent="0.25">
      <c r="A65" s="5" t="s">
        <v>43</v>
      </c>
      <c r="B65" s="8">
        <f>IF(B63=0,1,B63/B62)</f>
        <v>1</v>
      </c>
      <c r="C65" s="8">
        <f>IF(C63=0,1,C63/C62)</f>
        <v>1</v>
      </c>
      <c r="D65" s="8">
        <f t="shared" ref="D65:M65" si="15">IF(D63=0,1,D63/D62)</f>
        <v>1</v>
      </c>
      <c r="E65" s="8">
        <f t="shared" si="15"/>
        <v>1</v>
      </c>
      <c r="F65" s="8">
        <f t="shared" si="15"/>
        <v>1</v>
      </c>
      <c r="G65" s="8">
        <f t="shared" si="15"/>
        <v>1</v>
      </c>
      <c r="H65" s="8">
        <f t="shared" si="15"/>
        <v>1</v>
      </c>
      <c r="I65" s="8">
        <f t="shared" si="15"/>
        <v>1</v>
      </c>
      <c r="J65" s="8">
        <f t="shared" si="15"/>
        <v>1</v>
      </c>
      <c r="K65" s="8">
        <f t="shared" si="15"/>
        <v>1</v>
      </c>
      <c r="L65" s="8">
        <f t="shared" si="15"/>
        <v>1</v>
      </c>
      <c r="M65" s="8">
        <f t="shared" si="15"/>
        <v>1</v>
      </c>
      <c r="N65" s="8" t="str">
        <f t="shared" ref="N65" si="16">IF(N63=0,"100%",N63/N62)</f>
        <v>100%</v>
      </c>
    </row>
    <row r="66" spans="1:29" x14ac:dyDescent="0.25">
      <c r="A66" s="5" t="s">
        <v>44</v>
      </c>
      <c r="B66" s="8">
        <f>B65</f>
        <v>1</v>
      </c>
      <c r="C66" s="4">
        <f>SUM($B$65:C$65)/COUNT($B$57:C$57)</f>
        <v>1</v>
      </c>
      <c r="D66" s="4">
        <f>SUM($B$65:D$65)/COUNT($B$57:D$57)</f>
        <v>1</v>
      </c>
      <c r="E66" s="4">
        <f>SUM($B$65:E$65)/COUNT($B$57:E$57)</f>
        <v>1</v>
      </c>
      <c r="F66" s="4">
        <f>SUM($B$65:F$65)/COUNT($B$57:F$57)</f>
        <v>1</v>
      </c>
      <c r="G66" s="4">
        <f>SUM($B$65:G$65)/COUNT($B$57:G$57)</f>
        <v>1</v>
      </c>
      <c r="H66" s="4">
        <f>SUM($B$65:H$65)/COUNT($B$57:H$57)</f>
        <v>1</v>
      </c>
      <c r="I66" s="4">
        <f>SUM($B$65:I$65)/COUNT($B$57:I$57)</f>
        <v>1</v>
      </c>
      <c r="J66" s="4">
        <f>SUM($B$65:J$65)/COUNT($B$57:J$57)</f>
        <v>1</v>
      </c>
      <c r="K66" s="4">
        <f>SUM($B$65:K$65)/COUNT($B$57:K$57)</f>
        <v>1</v>
      </c>
      <c r="L66" s="4">
        <f>SUM($B$65:L$65)/COUNT($B$57:L$57)</f>
        <v>1</v>
      </c>
      <c r="M66" s="4">
        <f>SUM($B$65:M$65)/COUNT($B$57:M$57)</f>
        <v>1</v>
      </c>
      <c r="N66" s="4"/>
    </row>
    <row r="67" spans="1:29" x14ac:dyDescent="0.25">
      <c r="A67" s="303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</row>
    <row r="68" spans="1:29" x14ac:dyDescent="0.25">
      <c r="A68" s="303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</row>
    <row r="69" spans="1:29" x14ac:dyDescent="0.25">
      <c r="A69" s="6" t="s">
        <v>52</v>
      </c>
    </row>
    <row r="70" spans="1:29" x14ac:dyDescent="0.25">
      <c r="A70" s="5" t="s">
        <v>288</v>
      </c>
      <c r="B70" s="5" t="s">
        <v>29</v>
      </c>
      <c r="C70" s="5" t="s">
        <v>30</v>
      </c>
      <c r="D70" s="5" t="s">
        <v>31</v>
      </c>
      <c r="E70" s="5" t="s">
        <v>32</v>
      </c>
      <c r="F70" s="5" t="s">
        <v>33</v>
      </c>
      <c r="G70" s="5" t="s">
        <v>34</v>
      </c>
      <c r="H70" s="5" t="s">
        <v>35</v>
      </c>
      <c r="I70" s="5" t="s">
        <v>36</v>
      </c>
      <c r="J70" s="5" t="s">
        <v>37</v>
      </c>
      <c r="K70" s="5" t="s">
        <v>38</v>
      </c>
      <c r="L70" s="5" t="s">
        <v>39</v>
      </c>
      <c r="M70" s="5" t="s">
        <v>40</v>
      </c>
      <c r="N70" s="5" t="s">
        <v>95</v>
      </c>
      <c r="P70" s="5" t="s">
        <v>237</v>
      </c>
      <c r="Q70" s="5" t="s">
        <v>29</v>
      </c>
      <c r="R70" s="5" t="s">
        <v>30</v>
      </c>
      <c r="S70" s="5" t="s">
        <v>31</v>
      </c>
      <c r="T70" s="5" t="s">
        <v>32</v>
      </c>
      <c r="U70" s="5" t="s">
        <v>33</v>
      </c>
      <c r="V70" s="5" t="s">
        <v>34</v>
      </c>
      <c r="W70" s="5" t="s">
        <v>35</v>
      </c>
      <c r="X70" s="5" t="s">
        <v>36</v>
      </c>
      <c r="Y70" s="5" t="s">
        <v>37</v>
      </c>
      <c r="Z70" s="5" t="s">
        <v>38</v>
      </c>
      <c r="AA70" s="5" t="s">
        <v>39</v>
      </c>
      <c r="AB70" s="5" t="s">
        <v>40</v>
      </c>
      <c r="AC70" s="5" t="s">
        <v>95</v>
      </c>
    </row>
    <row r="71" spans="1:29" x14ac:dyDescent="0.25">
      <c r="A71" s="5" t="s">
        <v>41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298">
        <f>SUM(B71:M71)</f>
        <v>0</v>
      </c>
      <c r="P71" s="5" t="s">
        <v>332</v>
      </c>
      <c r="Q71" s="298">
        <v>0</v>
      </c>
      <c r="R71" s="298">
        <v>0</v>
      </c>
      <c r="S71" s="298">
        <v>0</v>
      </c>
      <c r="T71" s="298">
        <v>0</v>
      </c>
      <c r="U71" s="298">
        <v>0</v>
      </c>
      <c r="V71" s="298">
        <v>0</v>
      </c>
      <c r="W71" s="298">
        <v>0</v>
      </c>
      <c r="X71" s="298">
        <v>0</v>
      </c>
      <c r="Y71" s="298">
        <v>0</v>
      </c>
      <c r="Z71" s="298">
        <v>0</v>
      </c>
      <c r="AA71" s="298">
        <v>0</v>
      </c>
      <c r="AB71" s="298">
        <v>0</v>
      </c>
      <c r="AC71" s="298">
        <f>SUM(Q71:AB71)</f>
        <v>0</v>
      </c>
    </row>
    <row r="72" spans="1:29" x14ac:dyDescent="0.25">
      <c r="A72" s="5" t="s">
        <v>42</v>
      </c>
      <c r="B72" s="3">
        <f>Q73</f>
        <v>0</v>
      </c>
      <c r="C72" s="3">
        <f t="shared" ref="C72:M72" si="17">R73</f>
        <v>0</v>
      </c>
      <c r="D72" s="3">
        <f t="shared" si="17"/>
        <v>0</v>
      </c>
      <c r="E72" s="3">
        <f t="shared" si="17"/>
        <v>0</v>
      </c>
      <c r="F72" s="3">
        <f t="shared" si="17"/>
        <v>0</v>
      </c>
      <c r="G72" s="3">
        <f t="shared" si="17"/>
        <v>0</v>
      </c>
      <c r="H72" s="3">
        <f t="shared" si="17"/>
        <v>0</v>
      </c>
      <c r="I72" s="3">
        <f t="shared" si="17"/>
        <v>0</v>
      </c>
      <c r="J72" s="3">
        <f t="shared" si="17"/>
        <v>0</v>
      </c>
      <c r="K72" s="3">
        <f t="shared" si="17"/>
        <v>0</v>
      </c>
      <c r="L72" s="3">
        <f t="shared" si="17"/>
        <v>0</v>
      </c>
      <c r="M72" s="3">
        <f t="shared" si="17"/>
        <v>0</v>
      </c>
      <c r="N72" s="298">
        <f>SUM(B72:M72)</f>
        <v>0</v>
      </c>
      <c r="P72" s="5" t="s">
        <v>333</v>
      </c>
      <c r="Q72" s="298">
        <v>0</v>
      </c>
      <c r="R72" s="298">
        <v>0</v>
      </c>
      <c r="S72" s="298">
        <v>0</v>
      </c>
      <c r="T72" s="298">
        <v>0</v>
      </c>
      <c r="U72" s="298">
        <v>0</v>
      </c>
      <c r="V72" s="298">
        <v>0</v>
      </c>
      <c r="W72" s="298">
        <v>0</v>
      </c>
      <c r="X72" s="298">
        <v>0</v>
      </c>
      <c r="Y72" s="298">
        <v>0</v>
      </c>
      <c r="Z72" s="298">
        <v>0</v>
      </c>
      <c r="AA72" s="298">
        <v>0</v>
      </c>
      <c r="AB72" s="298">
        <v>0</v>
      </c>
      <c r="AC72" s="298">
        <f t="shared" ref="AC72" si="18">SUM(Q72:AB72)</f>
        <v>0</v>
      </c>
    </row>
    <row r="73" spans="1:29" ht="14.25" customHeight="1" x14ac:dyDescent="0.25">
      <c r="A73" s="5" t="s">
        <v>96</v>
      </c>
      <c r="B73" s="3">
        <f>B72</f>
        <v>0</v>
      </c>
      <c r="C73" s="3">
        <f>SUM($B$72:C$72)</f>
        <v>0</v>
      </c>
      <c r="D73" s="3">
        <f>SUM($B$72:D$72)</f>
        <v>0</v>
      </c>
      <c r="E73" s="3">
        <f>SUM($B$72:E$72)</f>
        <v>0</v>
      </c>
      <c r="F73" s="3">
        <f>SUM($B$72:F$72)</f>
        <v>0</v>
      </c>
      <c r="G73" s="3">
        <f>SUM($B$72:G$72)</f>
        <v>0</v>
      </c>
      <c r="H73" s="3">
        <f>SUM($B$72:H$72)</f>
        <v>0</v>
      </c>
      <c r="I73" s="3">
        <f>SUM($B$72:I$72)</f>
        <v>0</v>
      </c>
      <c r="J73" s="3">
        <f>SUM($B$72:J$72)</f>
        <v>0</v>
      </c>
      <c r="K73" s="3">
        <f>SUM($B$72:K$72)</f>
        <v>0</v>
      </c>
      <c r="L73" s="3">
        <f>SUM($B$72:L$72)</f>
        <v>0</v>
      </c>
      <c r="M73" s="3">
        <f>SUM($B$72:M$72)</f>
        <v>0</v>
      </c>
      <c r="N73" s="7"/>
      <c r="P73" s="5" t="s">
        <v>334</v>
      </c>
      <c r="Q73" s="311">
        <f t="shared" ref="Q73:AC73" si="19">SUM(Q71:Q72)</f>
        <v>0</v>
      </c>
      <c r="R73" s="311">
        <f t="shared" si="19"/>
        <v>0</v>
      </c>
      <c r="S73" s="311">
        <f t="shared" si="19"/>
        <v>0</v>
      </c>
      <c r="T73" s="311">
        <f t="shared" si="19"/>
        <v>0</v>
      </c>
      <c r="U73" s="311">
        <f t="shared" si="19"/>
        <v>0</v>
      </c>
      <c r="V73" s="311">
        <f t="shared" si="19"/>
        <v>0</v>
      </c>
      <c r="W73" s="311">
        <f t="shared" si="19"/>
        <v>0</v>
      </c>
      <c r="X73" s="311">
        <f t="shared" si="19"/>
        <v>0</v>
      </c>
      <c r="Y73" s="311">
        <f t="shared" si="19"/>
        <v>0</v>
      </c>
      <c r="Z73" s="311">
        <f t="shared" si="19"/>
        <v>0</v>
      </c>
      <c r="AA73" s="311">
        <f t="shared" si="19"/>
        <v>0</v>
      </c>
      <c r="AB73" s="311">
        <f t="shared" si="19"/>
        <v>0</v>
      </c>
      <c r="AC73" s="311">
        <f t="shared" si="19"/>
        <v>0</v>
      </c>
    </row>
    <row r="74" spans="1:29" x14ac:dyDescent="0.25">
      <c r="A74" s="5" t="s">
        <v>43</v>
      </c>
      <c r="B74" s="8">
        <f>IF(B72=0,1,B72/B71)</f>
        <v>1</v>
      </c>
      <c r="C74" s="8">
        <f t="shared" ref="C74:M74" si="20">IF(C72=0,1,C72/C71)</f>
        <v>1</v>
      </c>
      <c r="D74" s="8">
        <f t="shared" si="20"/>
        <v>1</v>
      </c>
      <c r="E74" s="8">
        <f t="shared" si="20"/>
        <v>1</v>
      </c>
      <c r="F74" s="8">
        <f t="shared" si="20"/>
        <v>1</v>
      </c>
      <c r="G74" s="8">
        <f t="shared" si="20"/>
        <v>1</v>
      </c>
      <c r="H74" s="8">
        <f t="shared" si="20"/>
        <v>1</v>
      </c>
      <c r="I74" s="8">
        <f t="shared" si="20"/>
        <v>1</v>
      </c>
      <c r="J74" s="8">
        <f t="shared" si="20"/>
        <v>1</v>
      </c>
      <c r="K74" s="8">
        <f t="shared" si="20"/>
        <v>1</v>
      </c>
      <c r="L74" s="8">
        <f t="shared" si="20"/>
        <v>1</v>
      </c>
      <c r="M74" s="8">
        <f t="shared" si="20"/>
        <v>1</v>
      </c>
      <c r="N74" s="8" t="str">
        <f t="shared" ref="N74" si="21">IF(N72=0,"100%",N72/N71)</f>
        <v>100%</v>
      </c>
      <c r="P74" s="303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</row>
    <row r="75" spans="1:29" x14ac:dyDescent="0.25">
      <c r="A75" s="5" t="s">
        <v>44</v>
      </c>
      <c r="B75" s="8">
        <f>B74</f>
        <v>1</v>
      </c>
      <c r="C75" s="4">
        <f>AVERAGE($B$74:C$74)</f>
        <v>1</v>
      </c>
      <c r="D75" s="4">
        <f>AVERAGE($B$74:D$74)</f>
        <v>1</v>
      </c>
      <c r="E75" s="4">
        <f>AVERAGE($B$74:E$74)</f>
        <v>1</v>
      </c>
      <c r="F75" s="4">
        <f>AVERAGE($B$74:F$74)</f>
        <v>1</v>
      </c>
      <c r="G75" s="4">
        <f>AVERAGE($B$74:G$74)</f>
        <v>1</v>
      </c>
      <c r="H75" s="4">
        <f>AVERAGE($B$74:H$74)</f>
        <v>1</v>
      </c>
      <c r="I75" s="4">
        <f>AVERAGE($B$74:I$74)</f>
        <v>1</v>
      </c>
      <c r="J75" s="4">
        <f>AVERAGE($B$74:J$74)</f>
        <v>1</v>
      </c>
      <c r="K75" s="4">
        <f>AVERAGE($B$74:K$74)</f>
        <v>1</v>
      </c>
      <c r="L75" s="4">
        <f>AVERAGE($B$74:L$74)</f>
        <v>1</v>
      </c>
      <c r="M75" s="4">
        <f>AVERAGE($B$74:M$74)</f>
        <v>1</v>
      </c>
      <c r="N75" s="4"/>
    </row>
    <row r="76" spans="1:29" x14ac:dyDescent="0.25">
      <c r="A76" s="303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</row>
    <row r="77" spans="1:29" x14ac:dyDescent="0.25">
      <c r="A77" s="303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</row>
    <row r="78" spans="1:29" x14ac:dyDescent="0.25">
      <c r="A78" s="6" t="s">
        <v>52</v>
      </c>
      <c r="B78">
        <v>1</v>
      </c>
    </row>
    <row r="79" spans="1:29" s="307" customFormat="1" ht="45" x14ac:dyDescent="0.25">
      <c r="A79" s="306" t="s">
        <v>289</v>
      </c>
      <c r="B79" s="284" t="s">
        <v>29</v>
      </c>
      <c r="C79" s="284" t="s">
        <v>30</v>
      </c>
      <c r="D79" s="284" t="s">
        <v>31</v>
      </c>
      <c r="E79" s="284" t="s">
        <v>32</v>
      </c>
      <c r="F79" s="284" t="s">
        <v>33</v>
      </c>
      <c r="G79" s="284" t="s">
        <v>34</v>
      </c>
      <c r="H79" s="284" t="s">
        <v>35</v>
      </c>
      <c r="I79" s="284" t="s">
        <v>36</v>
      </c>
      <c r="J79" s="284" t="s">
        <v>37</v>
      </c>
      <c r="K79" s="284" t="s">
        <v>38</v>
      </c>
      <c r="L79" s="284" t="s">
        <v>39</v>
      </c>
      <c r="M79" s="284" t="s">
        <v>40</v>
      </c>
      <c r="N79" s="284" t="s">
        <v>95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307" customFormat="1" ht="30" x14ac:dyDescent="0.25">
      <c r="A80" s="306" t="s">
        <v>291</v>
      </c>
      <c r="B80" s="312">
        <v>1</v>
      </c>
      <c r="C80" s="312">
        <v>2</v>
      </c>
      <c r="D80" s="312">
        <v>1</v>
      </c>
      <c r="E80" s="312">
        <v>1</v>
      </c>
      <c r="F80" s="312">
        <v>1</v>
      </c>
      <c r="G80" s="312">
        <v>2</v>
      </c>
      <c r="H80" s="312">
        <v>4</v>
      </c>
      <c r="I80" s="312">
        <v>3</v>
      </c>
      <c r="J80" s="312">
        <v>5</v>
      </c>
      <c r="K80" s="312">
        <v>6</v>
      </c>
      <c r="L80" s="312">
        <v>2</v>
      </c>
      <c r="M80" s="312">
        <v>7</v>
      </c>
      <c r="N80" s="312">
        <f>SUM(B80:M80)</f>
        <v>35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5">
      <c r="A81" s="5" t="s">
        <v>292</v>
      </c>
      <c r="B81" s="10">
        <f t="shared" ref="B81:M81" si="22">B80*B83</f>
        <v>14</v>
      </c>
      <c r="C81" s="10">
        <f t="shared" si="22"/>
        <v>28</v>
      </c>
      <c r="D81" s="10">
        <f t="shared" si="22"/>
        <v>14</v>
      </c>
      <c r="E81" s="10">
        <f t="shared" si="22"/>
        <v>14</v>
      </c>
      <c r="F81" s="10">
        <f t="shared" si="22"/>
        <v>14</v>
      </c>
      <c r="G81" s="10">
        <f t="shared" si="22"/>
        <v>28</v>
      </c>
      <c r="H81" s="10">
        <f t="shared" si="22"/>
        <v>56</v>
      </c>
      <c r="I81" s="10">
        <f t="shared" si="22"/>
        <v>42</v>
      </c>
      <c r="J81" s="10">
        <f t="shared" si="22"/>
        <v>70</v>
      </c>
      <c r="K81" s="10">
        <f t="shared" si="22"/>
        <v>84</v>
      </c>
      <c r="L81" s="10">
        <f t="shared" si="22"/>
        <v>28</v>
      </c>
      <c r="M81" s="10">
        <f t="shared" si="22"/>
        <v>98</v>
      </c>
      <c r="N81" s="10">
        <f>SUM(B81:M81)</f>
        <v>490</v>
      </c>
    </row>
    <row r="82" spans="1:29" x14ac:dyDescent="0.25">
      <c r="A82" s="5" t="s">
        <v>302</v>
      </c>
      <c r="B82" s="10">
        <v>14</v>
      </c>
      <c r="C82" s="10">
        <v>29</v>
      </c>
      <c r="D82" s="10">
        <v>13</v>
      </c>
      <c r="E82" s="10">
        <v>14</v>
      </c>
      <c r="F82" s="10">
        <v>14</v>
      </c>
      <c r="G82" s="10">
        <v>27</v>
      </c>
      <c r="H82" s="10">
        <v>55</v>
      </c>
      <c r="I82" s="10">
        <v>41</v>
      </c>
      <c r="J82" s="10">
        <v>70</v>
      </c>
      <c r="K82" s="10">
        <v>84</v>
      </c>
      <c r="L82" s="10">
        <v>28</v>
      </c>
      <c r="M82" s="10">
        <v>98</v>
      </c>
      <c r="N82" s="10">
        <f>SUM(B82:M82)</f>
        <v>487</v>
      </c>
    </row>
    <row r="83" spans="1:29" x14ac:dyDescent="0.25">
      <c r="A83" s="5" t="s">
        <v>290</v>
      </c>
      <c r="B83" s="10">
        <v>14</v>
      </c>
      <c r="C83" s="10">
        <v>14</v>
      </c>
      <c r="D83" s="10">
        <v>14</v>
      </c>
      <c r="E83" s="10">
        <v>14</v>
      </c>
      <c r="F83" s="10">
        <v>14</v>
      </c>
      <c r="G83" s="10">
        <v>14</v>
      </c>
      <c r="H83" s="10">
        <v>14</v>
      </c>
      <c r="I83" s="10">
        <v>14</v>
      </c>
      <c r="J83" s="10">
        <v>14</v>
      </c>
      <c r="K83" s="10">
        <v>14</v>
      </c>
      <c r="L83" s="10">
        <v>14</v>
      </c>
      <c r="M83" s="10">
        <v>14</v>
      </c>
      <c r="N83" s="10">
        <f>AVERAGE(B83:M83)</f>
        <v>14</v>
      </c>
    </row>
    <row r="84" spans="1:29" x14ac:dyDescent="0.25">
      <c r="A84" s="5" t="s">
        <v>352</v>
      </c>
      <c r="B84" s="10">
        <f t="shared" ref="B84:N84" si="23">B82/B80</f>
        <v>14</v>
      </c>
      <c r="C84" s="10">
        <f t="shared" si="23"/>
        <v>14.5</v>
      </c>
      <c r="D84" s="10">
        <f t="shared" si="23"/>
        <v>13</v>
      </c>
      <c r="E84" s="10">
        <f t="shared" si="23"/>
        <v>14</v>
      </c>
      <c r="F84" s="10">
        <f t="shared" si="23"/>
        <v>14</v>
      </c>
      <c r="G84" s="10">
        <f t="shared" si="23"/>
        <v>13.5</v>
      </c>
      <c r="H84" s="10">
        <f t="shared" si="23"/>
        <v>13.75</v>
      </c>
      <c r="I84" s="10">
        <f t="shared" si="23"/>
        <v>13.666666666666666</v>
      </c>
      <c r="J84" s="10">
        <f t="shared" si="23"/>
        <v>14</v>
      </c>
      <c r="K84" s="10">
        <f t="shared" si="23"/>
        <v>14</v>
      </c>
      <c r="L84" s="10">
        <f t="shared" si="23"/>
        <v>14</v>
      </c>
      <c r="M84" s="10">
        <f t="shared" si="23"/>
        <v>14</v>
      </c>
      <c r="N84" s="10">
        <f t="shared" si="23"/>
        <v>13.914285714285715</v>
      </c>
    </row>
    <row r="85" spans="1:29" x14ac:dyDescent="0.25">
      <c r="A85" s="5" t="s">
        <v>43</v>
      </c>
      <c r="B85" s="8">
        <f>B84/B83</f>
        <v>1</v>
      </c>
      <c r="C85" s="8">
        <f t="shared" ref="C85:M85" si="24">C84/C83</f>
        <v>1.0357142857142858</v>
      </c>
      <c r="D85" s="8">
        <f t="shared" si="24"/>
        <v>0.9285714285714286</v>
      </c>
      <c r="E85" s="8">
        <f t="shared" si="24"/>
        <v>1</v>
      </c>
      <c r="F85" s="8">
        <f t="shared" si="24"/>
        <v>1</v>
      </c>
      <c r="G85" s="8">
        <f t="shared" si="24"/>
        <v>0.9642857142857143</v>
      </c>
      <c r="H85" s="8">
        <f t="shared" si="24"/>
        <v>0.9821428571428571</v>
      </c>
      <c r="I85" s="8">
        <f t="shared" si="24"/>
        <v>0.97619047619047616</v>
      </c>
      <c r="J85" s="8">
        <f t="shared" si="24"/>
        <v>1</v>
      </c>
      <c r="K85" s="8">
        <f t="shared" si="24"/>
        <v>1</v>
      </c>
      <c r="L85" s="8">
        <f t="shared" si="24"/>
        <v>1</v>
      </c>
      <c r="M85" s="8">
        <f t="shared" si="24"/>
        <v>1</v>
      </c>
      <c r="N85" s="8">
        <f>N84/N83</f>
        <v>0.9938775510204082</v>
      </c>
    </row>
    <row r="86" spans="1:29" x14ac:dyDescent="0.25">
      <c r="A86" s="5" t="s">
        <v>44</v>
      </c>
      <c r="B86" s="8">
        <f>B82/B81</f>
        <v>1</v>
      </c>
      <c r="C86" s="4">
        <f>SUM($B$84:C$84)/SUM($B$83:C$83)</f>
        <v>1.0178571428571428</v>
      </c>
      <c r="D86" s="4">
        <f>SUM($B$84:D$84)/SUM($B$83:D$83)</f>
        <v>0.98809523809523814</v>
      </c>
      <c r="E86" s="4">
        <f>SUM($B$84:E$84)/SUM($B$83:E$83)</f>
        <v>0.9910714285714286</v>
      </c>
      <c r="F86" s="4">
        <f>SUM($B$84:F$84)/SUM($B$83:F$83)</f>
        <v>0.99285714285714288</v>
      </c>
      <c r="G86" s="4">
        <f>SUM($B$84:G$84)/SUM($B$83:G$83)</f>
        <v>0.98809523809523814</v>
      </c>
      <c r="H86" s="4">
        <f>SUM($B$84:H$84)/SUM($B$83:H$83)</f>
        <v>0.98724489795918369</v>
      </c>
      <c r="I86" s="4">
        <f>SUM($B$84:I$84)/SUM($B$83:I$83)</f>
        <v>0.98586309523809523</v>
      </c>
      <c r="J86" s="4">
        <f>SUM($B$84:J$84)/SUM($B$83:J$83)</f>
        <v>0.98743386243386244</v>
      </c>
      <c r="K86" s="4">
        <f>SUM($B$84:K$84)/SUM($B$83:K$83)</f>
        <v>0.98869047619047634</v>
      </c>
      <c r="L86" s="4">
        <f>SUM($B$84:L$84)/SUM($B$83:L$83)</f>
        <v>0.98971861471861489</v>
      </c>
      <c r="M86" s="4">
        <f>SUM($B$84:M$84)/SUM($B$83:M$83)</f>
        <v>0.99057539682539697</v>
      </c>
      <c r="N86" s="4"/>
    </row>
    <row r="87" spans="1:29" x14ac:dyDescent="0.25">
      <c r="A87" s="303"/>
      <c r="B87" s="304"/>
      <c r="C87" s="308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</row>
    <row r="90" spans="1:29" x14ac:dyDescent="0.25">
      <c r="A90" s="6" t="s">
        <v>298</v>
      </c>
    </row>
    <row r="91" spans="1:29" x14ac:dyDescent="0.25">
      <c r="A91" s="5" t="s">
        <v>297</v>
      </c>
      <c r="B91" s="5" t="s">
        <v>29</v>
      </c>
      <c r="C91" s="5" t="s">
        <v>30</v>
      </c>
      <c r="D91" s="5" t="s">
        <v>31</v>
      </c>
      <c r="E91" s="5" t="s">
        <v>32</v>
      </c>
      <c r="F91" s="5" t="s">
        <v>33</v>
      </c>
      <c r="G91" s="5" t="s">
        <v>34</v>
      </c>
      <c r="H91" s="5" t="s">
        <v>35</v>
      </c>
      <c r="I91" s="5" t="s">
        <v>36</v>
      </c>
      <c r="J91" s="5" t="s">
        <v>37</v>
      </c>
      <c r="K91" s="5" t="s">
        <v>38</v>
      </c>
      <c r="L91" s="5" t="s">
        <v>39</v>
      </c>
      <c r="M91" s="5" t="s">
        <v>40</v>
      </c>
      <c r="N91" s="5" t="s">
        <v>95</v>
      </c>
      <c r="P91" s="5" t="s">
        <v>237</v>
      </c>
      <c r="Q91" s="5" t="s">
        <v>29</v>
      </c>
      <c r="R91" s="5" t="s">
        <v>30</v>
      </c>
      <c r="S91" s="5" t="s">
        <v>31</v>
      </c>
      <c r="T91" s="5" t="s">
        <v>32</v>
      </c>
      <c r="U91" s="5" t="s">
        <v>33</v>
      </c>
      <c r="V91" s="5" t="s">
        <v>34</v>
      </c>
      <c r="W91" s="5" t="s">
        <v>35</v>
      </c>
      <c r="X91" s="5" t="s">
        <v>36</v>
      </c>
      <c r="Y91" s="5" t="s">
        <v>37</v>
      </c>
      <c r="Z91" s="5" t="s">
        <v>38</v>
      </c>
      <c r="AA91" s="5" t="s">
        <v>39</v>
      </c>
      <c r="AB91" s="5" t="s">
        <v>40</v>
      </c>
      <c r="AC91" s="5" t="s">
        <v>95</v>
      </c>
    </row>
    <row r="92" spans="1:29" x14ac:dyDescent="0.25">
      <c r="A92" s="5" t="s">
        <v>41</v>
      </c>
      <c r="B92" s="4">
        <v>0.75</v>
      </c>
      <c r="C92" s="4">
        <v>0.75</v>
      </c>
      <c r="D92" s="4">
        <v>0.75</v>
      </c>
      <c r="E92" s="4">
        <v>0.75</v>
      </c>
      <c r="F92" s="4">
        <v>0.75</v>
      </c>
      <c r="G92" s="4">
        <v>0.75</v>
      </c>
      <c r="H92" s="4">
        <v>0.75</v>
      </c>
      <c r="I92" s="4">
        <v>0.75</v>
      </c>
      <c r="J92" s="4">
        <v>0.75</v>
      </c>
      <c r="K92" s="4">
        <v>0.75</v>
      </c>
      <c r="L92" s="4">
        <v>0.75</v>
      </c>
      <c r="M92" s="4">
        <v>0.75</v>
      </c>
      <c r="N92" s="4">
        <f>AVERAGE(B92:M92)</f>
        <v>0.75</v>
      </c>
      <c r="P92" s="5" t="s">
        <v>332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f>AVERAGE(Q92:AB92)</f>
        <v>1</v>
      </c>
    </row>
    <row r="93" spans="1:29" x14ac:dyDescent="0.25">
      <c r="A93" s="5" t="s">
        <v>42</v>
      </c>
      <c r="B93" s="4">
        <f>Q94</f>
        <v>1</v>
      </c>
      <c r="C93" s="4">
        <f t="shared" ref="C93:M93" si="25">R94</f>
        <v>1</v>
      </c>
      <c r="D93" s="4">
        <f t="shared" si="25"/>
        <v>1</v>
      </c>
      <c r="E93" s="4">
        <f t="shared" si="25"/>
        <v>1</v>
      </c>
      <c r="F93" s="4">
        <f t="shared" si="25"/>
        <v>1</v>
      </c>
      <c r="G93" s="4">
        <f t="shared" si="25"/>
        <v>1</v>
      </c>
      <c r="H93" s="4">
        <f t="shared" si="25"/>
        <v>1</v>
      </c>
      <c r="I93" s="4">
        <f t="shared" si="25"/>
        <v>1</v>
      </c>
      <c r="J93" s="4">
        <f t="shared" si="25"/>
        <v>1</v>
      </c>
      <c r="K93" s="4">
        <f t="shared" si="25"/>
        <v>1</v>
      </c>
      <c r="L93" s="4">
        <f t="shared" si="25"/>
        <v>1</v>
      </c>
      <c r="M93" s="4">
        <f t="shared" si="25"/>
        <v>1</v>
      </c>
      <c r="N93" s="4">
        <f>AVERAGE(B93:M93)</f>
        <v>1</v>
      </c>
      <c r="P93" s="5" t="s">
        <v>333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f t="shared" ref="AC93:AC94" si="26">AVERAGE(Q93:AB93)</f>
        <v>1</v>
      </c>
    </row>
    <row r="94" spans="1:29" x14ac:dyDescent="0.25">
      <c r="A94" s="5" t="s">
        <v>43</v>
      </c>
      <c r="B94" s="8">
        <f t="shared" ref="B94:N94" si="27">B93/B92</f>
        <v>1.3333333333333333</v>
      </c>
      <c r="C94" s="8">
        <f t="shared" si="27"/>
        <v>1.3333333333333333</v>
      </c>
      <c r="D94" s="8">
        <f t="shared" si="27"/>
        <v>1.3333333333333333</v>
      </c>
      <c r="E94" s="8">
        <f t="shared" si="27"/>
        <v>1.3333333333333333</v>
      </c>
      <c r="F94" s="8">
        <f t="shared" si="27"/>
        <v>1.3333333333333333</v>
      </c>
      <c r="G94" s="8">
        <f t="shared" si="27"/>
        <v>1.3333333333333333</v>
      </c>
      <c r="H94" s="8">
        <f t="shared" si="27"/>
        <v>1.3333333333333333</v>
      </c>
      <c r="I94" s="8">
        <f t="shared" si="27"/>
        <v>1.3333333333333333</v>
      </c>
      <c r="J94" s="8">
        <f t="shared" si="27"/>
        <v>1.3333333333333333</v>
      </c>
      <c r="K94" s="8">
        <f t="shared" si="27"/>
        <v>1.3333333333333333</v>
      </c>
      <c r="L94" s="8">
        <f t="shared" si="27"/>
        <v>1.3333333333333333</v>
      </c>
      <c r="M94" s="8">
        <f t="shared" si="27"/>
        <v>1.3333333333333333</v>
      </c>
      <c r="N94" s="8">
        <f t="shared" si="27"/>
        <v>1.3333333333333333</v>
      </c>
      <c r="P94" s="5" t="s">
        <v>334</v>
      </c>
      <c r="Q94" s="310">
        <f t="shared" ref="Q94:AB94" si="28">AVERAGE(Q92:Q93)</f>
        <v>1</v>
      </c>
      <c r="R94" s="310">
        <f t="shared" si="28"/>
        <v>1</v>
      </c>
      <c r="S94" s="310">
        <f t="shared" si="28"/>
        <v>1</v>
      </c>
      <c r="T94" s="310">
        <f t="shared" si="28"/>
        <v>1</v>
      </c>
      <c r="U94" s="310">
        <f t="shared" si="28"/>
        <v>1</v>
      </c>
      <c r="V94" s="310">
        <f t="shared" si="28"/>
        <v>1</v>
      </c>
      <c r="W94" s="310">
        <f t="shared" si="28"/>
        <v>1</v>
      </c>
      <c r="X94" s="310">
        <f t="shared" si="28"/>
        <v>1</v>
      </c>
      <c r="Y94" s="310">
        <f t="shared" si="28"/>
        <v>1</v>
      </c>
      <c r="Z94" s="310">
        <f t="shared" si="28"/>
        <v>1</v>
      </c>
      <c r="AA94" s="310">
        <f t="shared" si="28"/>
        <v>1</v>
      </c>
      <c r="AB94" s="310">
        <f t="shared" si="28"/>
        <v>1</v>
      </c>
      <c r="AC94" s="310">
        <f t="shared" si="26"/>
        <v>1</v>
      </c>
    </row>
    <row r="95" spans="1:29" x14ac:dyDescent="0.25">
      <c r="A95" s="5" t="s">
        <v>44</v>
      </c>
      <c r="B95" s="8">
        <f>B94</f>
        <v>1.3333333333333333</v>
      </c>
      <c r="C95" s="4">
        <f>AVERAGE($B$94:C$94)</f>
        <v>1.3333333333333333</v>
      </c>
      <c r="D95" s="4">
        <f>AVERAGE($B$94:D$94)</f>
        <v>1.3333333333333333</v>
      </c>
      <c r="E95" s="4">
        <f>AVERAGE($B$94:E$94)</f>
        <v>1.3333333333333333</v>
      </c>
      <c r="F95" s="4">
        <f>AVERAGE($B$94:F$94)</f>
        <v>1.3333333333333333</v>
      </c>
      <c r="G95" s="4">
        <f>AVERAGE($B$94:G$94)</f>
        <v>1.3333333333333333</v>
      </c>
      <c r="H95" s="4">
        <f>AVERAGE($B$94:H$94)</f>
        <v>1.3333333333333333</v>
      </c>
      <c r="I95" s="4">
        <f>AVERAGE($B$94:I$94)</f>
        <v>1.3333333333333333</v>
      </c>
      <c r="J95" s="4">
        <f>AVERAGE($B$94:J$94)</f>
        <v>1.3333333333333333</v>
      </c>
      <c r="K95" s="4">
        <f>AVERAGE($B$94:K$94)</f>
        <v>1.3333333333333335</v>
      </c>
      <c r="L95" s="4">
        <f>AVERAGE($B$94:L$94)</f>
        <v>1.3333333333333335</v>
      </c>
      <c r="M95" s="4">
        <f>AVERAGE($B$94:M$94)</f>
        <v>1.3333333333333333</v>
      </c>
      <c r="N95" s="4"/>
      <c r="P95" s="303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</row>
    <row r="96" spans="1:29" x14ac:dyDescent="0.25">
      <c r="A96" s="303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P96" s="303"/>
      <c r="Q96" s="314"/>
      <c r="R96" s="314"/>
      <c r="S96" s="314"/>
      <c r="T96" s="314"/>
      <c r="U96" s="314"/>
      <c r="V96" s="314"/>
      <c r="W96" s="314"/>
      <c r="X96" s="314"/>
      <c r="Y96" s="314"/>
      <c r="Z96" s="314"/>
      <c r="AA96" s="314"/>
      <c r="AB96" s="314"/>
      <c r="AC96" s="314"/>
    </row>
    <row r="97" spans="1:29" x14ac:dyDescent="0.25">
      <c r="P97" s="303"/>
      <c r="Q97" s="314"/>
      <c r="R97" s="314"/>
      <c r="S97" s="314"/>
      <c r="T97" s="314"/>
      <c r="U97" s="314"/>
      <c r="V97" s="314"/>
      <c r="W97" s="314"/>
      <c r="X97" s="314"/>
      <c r="Y97" s="314"/>
      <c r="Z97" s="314"/>
      <c r="AA97" s="314"/>
      <c r="AB97" s="314"/>
      <c r="AC97" s="314"/>
    </row>
    <row r="98" spans="1:29" x14ac:dyDescent="0.25">
      <c r="A98" s="6" t="s">
        <v>331</v>
      </c>
      <c r="B98" s="299" t="s">
        <v>304</v>
      </c>
      <c r="C98" s="299"/>
    </row>
    <row r="99" spans="1:29" x14ac:dyDescent="0.25">
      <c r="A99" s="283" t="s">
        <v>250</v>
      </c>
      <c r="B99" s="285" t="s">
        <v>29</v>
      </c>
      <c r="C99" s="285" t="s">
        <v>30</v>
      </c>
      <c r="D99" s="285" t="s">
        <v>31</v>
      </c>
      <c r="E99" s="285" t="s">
        <v>32</v>
      </c>
      <c r="F99" s="285" t="s">
        <v>33</v>
      </c>
      <c r="G99" s="285" t="s">
        <v>34</v>
      </c>
      <c r="H99" s="285" t="s">
        <v>35</v>
      </c>
      <c r="I99" s="285" t="s">
        <v>36</v>
      </c>
      <c r="J99" s="285" t="s">
        <v>37</v>
      </c>
      <c r="K99" s="285" t="s">
        <v>38</v>
      </c>
      <c r="L99" s="285" t="s">
        <v>39</v>
      </c>
      <c r="M99" s="285" t="s">
        <v>40</v>
      </c>
      <c r="N99" s="285" t="s">
        <v>95</v>
      </c>
      <c r="P99" s="5" t="s">
        <v>237</v>
      </c>
      <c r="Q99" s="5" t="s">
        <v>29</v>
      </c>
      <c r="R99" s="5" t="s">
        <v>30</v>
      </c>
      <c r="S99" s="5" t="s">
        <v>31</v>
      </c>
      <c r="T99" s="5" t="s">
        <v>32</v>
      </c>
      <c r="U99" s="5" t="s">
        <v>33</v>
      </c>
      <c r="V99" s="5" t="s">
        <v>34</v>
      </c>
      <c r="W99" s="5" t="s">
        <v>35</v>
      </c>
      <c r="X99" s="5" t="s">
        <v>36</v>
      </c>
      <c r="Y99" s="5" t="s">
        <v>37</v>
      </c>
      <c r="Z99" s="5" t="s">
        <v>38</v>
      </c>
      <c r="AA99" s="5" t="s">
        <v>39</v>
      </c>
      <c r="AB99" s="5" t="s">
        <v>40</v>
      </c>
      <c r="AC99" s="5" t="s">
        <v>95</v>
      </c>
    </row>
    <row r="100" spans="1:29" x14ac:dyDescent="0.25">
      <c r="A100" s="5" t="s">
        <v>41</v>
      </c>
      <c r="B100" s="298">
        <v>0</v>
      </c>
      <c r="C100" s="298">
        <v>0</v>
      </c>
      <c r="D100" s="298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f>SUM(B100:M100)</f>
        <v>0</v>
      </c>
      <c r="P100" s="5" t="s">
        <v>332</v>
      </c>
      <c r="Q100" s="298">
        <v>0</v>
      </c>
      <c r="R100" s="298">
        <v>0</v>
      </c>
      <c r="S100" s="298">
        <v>0</v>
      </c>
      <c r="T100" s="298">
        <v>0</v>
      </c>
      <c r="U100" s="298">
        <v>0</v>
      </c>
      <c r="V100" s="298">
        <v>0</v>
      </c>
      <c r="W100" s="298">
        <v>0</v>
      </c>
      <c r="X100" s="298">
        <v>0</v>
      </c>
      <c r="Y100" s="298">
        <v>0</v>
      </c>
      <c r="Z100" s="298">
        <v>0</v>
      </c>
      <c r="AA100" s="298">
        <v>0</v>
      </c>
      <c r="AB100" s="298">
        <v>0</v>
      </c>
      <c r="AC100" s="298">
        <f>SUM(Q100:AB100)</f>
        <v>0</v>
      </c>
    </row>
    <row r="101" spans="1:29" x14ac:dyDescent="0.25">
      <c r="A101" s="5" t="s">
        <v>42</v>
      </c>
      <c r="B101" s="298">
        <f>Q102</f>
        <v>0</v>
      </c>
      <c r="C101" s="298">
        <f t="shared" ref="C101:M101" si="29">R102</f>
        <v>0</v>
      </c>
      <c r="D101" s="298">
        <f t="shared" si="29"/>
        <v>0</v>
      </c>
      <c r="E101" s="298">
        <f t="shared" si="29"/>
        <v>0</v>
      </c>
      <c r="F101" s="298">
        <f t="shared" si="29"/>
        <v>0</v>
      </c>
      <c r="G101" s="298">
        <f t="shared" si="29"/>
        <v>0</v>
      </c>
      <c r="H101" s="298">
        <f t="shared" si="29"/>
        <v>0</v>
      </c>
      <c r="I101" s="298">
        <f t="shared" si="29"/>
        <v>0</v>
      </c>
      <c r="J101" s="298">
        <f t="shared" si="29"/>
        <v>0</v>
      </c>
      <c r="K101" s="298">
        <f t="shared" si="29"/>
        <v>0</v>
      </c>
      <c r="L101" s="298">
        <f t="shared" si="29"/>
        <v>0</v>
      </c>
      <c r="M101" s="298">
        <f t="shared" si="29"/>
        <v>0</v>
      </c>
      <c r="N101" s="298">
        <f>SUM(B101:M101)</f>
        <v>0</v>
      </c>
      <c r="P101" s="5" t="s">
        <v>333</v>
      </c>
      <c r="Q101" s="298">
        <v>0</v>
      </c>
      <c r="R101" s="298">
        <v>0</v>
      </c>
      <c r="S101" s="298">
        <v>0</v>
      </c>
      <c r="T101" s="298">
        <v>0</v>
      </c>
      <c r="U101" s="298">
        <v>0</v>
      </c>
      <c r="V101" s="298">
        <v>0</v>
      </c>
      <c r="W101" s="298">
        <v>0</v>
      </c>
      <c r="X101" s="298">
        <v>0</v>
      </c>
      <c r="Y101" s="298">
        <v>0</v>
      </c>
      <c r="Z101" s="298">
        <v>0</v>
      </c>
      <c r="AA101" s="298">
        <v>0</v>
      </c>
      <c r="AB101" s="298">
        <v>0</v>
      </c>
      <c r="AC101" s="298">
        <f t="shared" ref="AC101" si="30">SUM(Q101:AB101)</f>
        <v>0</v>
      </c>
    </row>
    <row r="102" spans="1:29" x14ac:dyDescent="0.25">
      <c r="A102" s="5" t="s">
        <v>96</v>
      </c>
      <c r="B102" s="298">
        <f>B101</f>
        <v>0</v>
      </c>
      <c r="C102" s="298">
        <f>SUM($B$101:C$101)</f>
        <v>0</v>
      </c>
      <c r="D102" s="298">
        <f>SUM($B$101:D$101)</f>
        <v>0</v>
      </c>
      <c r="E102" s="298">
        <f>SUM($B$101:E$101)</f>
        <v>0</v>
      </c>
      <c r="F102" s="298">
        <f>SUM($B$101:F$101)</f>
        <v>0</v>
      </c>
      <c r="G102" s="298">
        <f>SUM($B$101:G$101)</f>
        <v>0</v>
      </c>
      <c r="H102" s="298">
        <f>SUM($B$101:H$101)</f>
        <v>0</v>
      </c>
      <c r="I102" s="298">
        <f>SUM($B$101:I$101)</f>
        <v>0</v>
      </c>
      <c r="J102" s="298">
        <f>SUM($B$101:J$101)</f>
        <v>0</v>
      </c>
      <c r="K102" s="298">
        <f>SUM($B$101:K$101)</f>
        <v>0</v>
      </c>
      <c r="L102" s="298">
        <f>SUM($B$101:L$101)</f>
        <v>0</v>
      </c>
      <c r="M102" s="298">
        <f>SUM($B$101:M$101)</f>
        <v>0</v>
      </c>
      <c r="N102" s="298"/>
      <c r="P102" s="5" t="s">
        <v>334</v>
      </c>
      <c r="Q102" s="311">
        <f t="shared" ref="Q102:AC102" si="31">SUM(Q100:Q101)</f>
        <v>0</v>
      </c>
      <c r="R102" s="311">
        <f t="shared" si="31"/>
        <v>0</v>
      </c>
      <c r="S102" s="311">
        <f t="shared" si="31"/>
        <v>0</v>
      </c>
      <c r="T102" s="311">
        <f t="shared" si="31"/>
        <v>0</v>
      </c>
      <c r="U102" s="311">
        <f t="shared" si="31"/>
        <v>0</v>
      </c>
      <c r="V102" s="311">
        <f t="shared" si="31"/>
        <v>0</v>
      </c>
      <c r="W102" s="311">
        <f t="shared" si="31"/>
        <v>0</v>
      </c>
      <c r="X102" s="311">
        <f t="shared" si="31"/>
        <v>0</v>
      </c>
      <c r="Y102" s="311">
        <f t="shared" si="31"/>
        <v>0</v>
      </c>
      <c r="Z102" s="311">
        <f t="shared" si="31"/>
        <v>0</v>
      </c>
      <c r="AA102" s="311">
        <f t="shared" si="31"/>
        <v>0</v>
      </c>
      <c r="AB102" s="311">
        <f t="shared" si="31"/>
        <v>0</v>
      </c>
      <c r="AC102" s="311">
        <f t="shared" si="31"/>
        <v>0</v>
      </c>
    </row>
    <row r="103" spans="1:29" x14ac:dyDescent="0.25">
      <c r="A103" s="5" t="s">
        <v>43</v>
      </c>
      <c r="B103" s="8">
        <f>IF(B101=0,1,B101/B100)</f>
        <v>1</v>
      </c>
      <c r="C103" s="8">
        <f t="shared" ref="C103:M103" si="32">IF(C101=0,1,C101/C100)</f>
        <v>1</v>
      </c>
      <c r="D103" s="8">
        <f t="shared" si="32"/>
        <v>1</v>
      </c>
      <c r="E103" s="8">
        <f t="shared" si="32"/>
        <v>1</v>
      </c>
      <c r="F103" s="8">
        <f t="shared" si="32"/>
        <v>1</v>
      </c>
      <c r="G103" s="8">
        <f t="shared" si="32"/>
        <v>1</v>
      </c>
      <c r="H103" s="8">
        <f t="shared" si="32"/>
        <v>1</v>
      </c>
      <c r="I103" s="8">
        <f t="shared" si="32"/>
        <v>1</v>
      </c>
      <c r="J103" s="8">
        <f t="shared" si="32"/>
        <v>1</v>
      </c>
      <c r="K103" s="8">
        <f t="shared" si="32"/>
        <v>1</v>
      </c>
      <c r="L103" s="8">
        <f t="shared" si="32"/>
        <v>1</v>
      </c>
      <c r="M103" s="8">
        <f t="shared" si="32"/>
        <v>1</v>
      </c>
      <c r="N103" s="8" t="str">
        <f t="shared" ref="N103" si="33">IF(N101=0,"100%",N101/N100)</f>
        <v>100%</v>
      </c>
    </row>
    <row r="104" spans="1:29" x14ac:dyDescent="0.25">
      <c r="A104" s="5" t="s">
        <v>44</v>
      </c>
      <c r="B104" s="4">
        <f>B103</f>
        <v>1</v>
      </c>
      <c r="C104" s="4">
        <f>AVERAGE($B$103:C$103)</f>
        <v>1</v>
      </c>
      <c r="D104" s="4">
        <f>AVERAGE($B$103:D$103)</f>
        <v>1</v>
      </c>
      <c r="E104" s="4">
        <f>AVERAGE($B$103:E$103)</f>
        <v>1</v>
      </c>
      <c r="F104" s="4">
        <f>AVERAGE($B$103:F$103)</f>
        <v>1</v>
      </c>
      <c r="G104" s="4">
        <f>AVERAGE($B$103:G$103)</f>
        <v>1</v>
      </c>
      <c r="H104" s="4">
        <f>AVERAGE($B$103:H$103)</f>
        <v>1</v>
      </c>
      <c r="I104" s="4">
        <f>AVERAGE($B$103:I$103)</f>
        <v>1</v>
      </c>
      <c r="J104" s="4">
        <f>AVERAGE($B$103:J$103)</f>
        <v>1</v>
      </c>
      <c r="K104" s="4">
        <f>AVERAGE($B$103:K$103)</f>
        <v>1</v>
      </c>
      <c r="L104" s="4">
        <f>AVERAGE($B$103:L$103)</f>
        <v>1</v>
      </c>
      <c r="M104" s="4">
        <f>AVERAGE($B$103:M$103)</f>
        <v>1</v>
      </c>
      <c r="N104" s="4"/>
    </row>
    <row r="105" spans="1:29" x14ac:dyDescent="0.25">
      <c r="A105" s="303"/>
      <c r="B105" s="305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</row>
    <row r="107" spans="1:29" x14ac:dyDescent="0.25">
      <c r="A107" s="6" t="s">
        <v>218</v>
      </c>
      <c r="B107" s="299" t="s">
        <v>240</v>
      </c>
      <c r="C107" s="299"/>
    </row>
    <row r="108" spans="1:29" s="307" customFormat="1" ht="60" x14ac:dyDescent="0.25">
      <c r="A108" s="283" t="s">
        <v>217</v>
      </c>
      <c r="B108" s="285" t="s">
        <v>29</v>
      </c>
      <c r="C108" s="285" t="s">
        <v>30</v>
      </c>
      <c r="D108" s="285" t="s">
        <v>31</v>
      </c>
      <c r="E108" s="285" t="s">
        <v>32</v>
      </c>
      <c r="F108" s="285" t="s">
        <v>33</v>
      </c>
      <c r="G108" s="285" t="s">
        <v>34</v>
      </c>
      <c r="H108" s="285" t="s">
        <v>35</v>
      </c>
      <c r="I108" s="285" t="s">
        <v>36</v>
      </c>
      <c r="J108" s="285" t="s">
        <v>37</v>
      </c>
      <c r="K108" s="285" t="s">
        <v>38</v>
      </c>
      <c r="L108" s="285" t="s">
        <v>39</v>
      </c>
      <c r="M108" s="285" t="s">
        <v>40</v>
      </c>
      <c r="N108" s="285" t="s">
        <v>95</v>
      </c>
      <c r="P108" s="5" t="s">
        <v>237</v>
      </c>
      <c r="Q108" s="284" t="s">
        <v>29</v>
      </c>
      <c r="R108" s="284" t="s">
        <v>30</v>
      </c>
      <c r="S108" s="284" t="s">
        <v>31</v>
      </c>
      <c r="T108" s="284" t="s">
        <v>32</v>
      </c>
      <c r="U108" s="284" t="s">
        <v>33</v>
      </c>
      <c r="V108" s="284" t="s">
        <v>34</v>
      </c>
      <c r="W108" s="284" t="s">
        <v>35</v>
      </c>
      <c r="X108" s="284" t="s">
        <v>36</v>
      </c>
      <c r="Y108" s="284" t="s">
        <v>37</v>
      </c>
      <c r="Z108" s="284" t="s">
        <v>38</v>
      </c>
      <c r="AA108" s="284" t="s">
        <v>39</v>
      </c>
      <c r="AB108" s="284" t="s">
        <v>40</v>
      </c>
      <c r="AC108" s="284" t="s">
        <v>95</v>
      </c>
    </row>
    <row r="109" spans="1:29" x14ac:dyDescent="0.25">
      <c r="A109" s="5" t="s">
        <v>41</v>
      </c>
      <c r="B109" s="298">
        <v>0</v>
      </c>
      <c r="C109" s="298">
        <v>0</v>
      </c>
      <c r="D109" s="298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f>SUM(B109:M109)</f>
        <v>0</v>
      </c>
      <c r="P109" s="5" t="s">
        <v>332</v>
      </c>
      <c r="Q109" s="298">
        <v>0</v>
      </c>
      <c r="R109" s="298">
        <v>0</v>
      </c>
      <c r="S109" s="298">
        <v>0</v>
      </c>
      <c r="T109" s="298">
        <v>0</v>
      </c>
      <c r="U109" s="298">
        <v>0</v>
      </c>
      <c r="V109" s="298">
        <v>0</v>
      </c>
      <c r="W109" s="298">
        <v>0</v>
      </c>
      <c r="X109" s="298">
        <v>0</v>
      </c>
      <c r="Y109" s="298">
        <v>0</v>
      </c>
      <c r="Z109" s="298">
        <v>0</v>
      </c>
      <c r="AA109" s="298">
        <v>0</v>
      </c>
      <c r="AB109" s="298">
        <v>0</v>
      </c>
      <c r="AC109" s="298">
        <f>SUM(Q109:AB109)</f>
        <v>0</v>
      </c>
    </row>
    <row r="110" spans="1:29" x14ac:dyDescent="0.25">
      <c r="A110" s="5" t="s">
        <v>42</v>
      </c>
      <c r="B110" s="298">
        <f>Q111</f>
        <v>0</v>
      </c>
      <c r="C110" s="298">
        <f t="shared" ref="C110:M110" si="34">R111</f>
        <v>0</v>
      </c>
      <c r="D110" s="298">
        <f t="shared" si="34"/>
        <v>0</v>
      </c>
      <c r="E110" s="298">
        <f t="shared" si="34"/>
        <v>0</v>
      </c>
      <c r="F110" s="298">
        <f t="shared" si="34"/>
        <v>0</v>
      </c>
      <c r="G110" s="298">
        <f t="shared" si="34"/>
        <v>0</v>
      </c>
      <c r="H110" s="298">
        <f t="shared" si="34"/>
        <v>0</v>
      </c>
      <c r="I110" s="298">
        <f t="shared" si="34"/>
        <v>0</v>
      </c>
      <c r="J110" s="298">
        <f t="shared" si="34"/>
        <v>0</v>
      </c>
      <c r="K110" s="298">
        <f t="shared" si="34"/>
        <v>0</v>
      </c>
      <c r="L110" s="298">
        <f t="shared" si="34"/>
        <v>0</v>
      </c>
      <c r="M110" s="298">
        <f t="shared" si="34"/>
        <v>0</v>
      </c>
      <c r="N110" s="298">
        <f>SUM(B110:M110)</f>
        <v>0</v>
      </c>
      <c r="P110" s="5" t="s">
        <v>333</v>
      </c>
      <c r="Q110" s="298">
        <v>0</v>
      </c>
      <c r="R110" s="298">
        <v>0</v>
      </c>
      <c r="S110" s="298">
        <v>0</v>
      </c>
      <c r="T110" s="298">
        <v>0</v>
      </c>
      <c r="U110" s="298">
        <v>0</v>
      </c>
      <c r="V110" s="298">
        <v>0</v>
      </c>
      <c r="W110" s="298">
        <v>0</v>
      </c>
      <c r="X110" s="298">
        <v>0</v>
      </c>
      <c r="Y110" s="298">
        <v>0</v>
      </c>
      <c r="Z110" s="298">
        <v>0</v>
      </c>
      <c r="AA110" s="298">
        <v>0</v>
      </c>
      <c r="AB110" s="298">
        <v>0</v>
      </c>
      <c r="AC110" s="298">
        <f t="shared" ref="AC110" si="35">SUM(Q110:AB110)</f>
        <v>0</v>
      </c>
    </row>
    <row r="111" spans="1:29" x14ac:dyDescent="0.25">
      <c r="A111" s="5" t="s">
        <v>96</v>
      </c>
      <c r="B111" s="298">
        <f>B110</f>
        <v>0</v>
      </c>
      <c r="C111" s="298">
        <f>SUM($B$110:C$110)</f>
        <v>0</v>
      </c>
      <c r="D111" s="298">
        <f>SUM($B$110:D$110)</f>
        <v>0</v>
      </c>
      <c r="E111" s="298">
        <f>SUM($B$110:E$110)</f>
        <v>0</v>
      </c>
      <c r="F111" s="298">
        <f>SUM($B$110:F$110)</f>
        <v>0</v>
      </c>
      <c r="G111" s="298">
        <f>SUM($B$110:G$110)</f>
        <v>0</v>
      </c>
      <c r="H111" s="298">
        <f>SUM($B$110:H$110)</f>
        <v>0</v>
      </c>
      <c r="I111" s="298">
        <f>SUM($B$110:I$110)</f>
        <v>0</v>
      </c>
      <c r="J111" s="298">
        <f>SUM($B$110:J$110)</f>
        <v>0</v>
      </c>
      <c r="K111" s="298">
        <f>SUM($B$110:K$110)</f>
        <v>0</v>
      </c>
      <c r="L111" s="298">
        <f>SUM($B$110:L$110)</f>
        <v>0</v>
      </c>
      <c r="M111" s="298">
        <f>SUM($B$110:M$110)</f>
        <v>0</v>
      </c>
      <c r="N111" s="298"/>
      <c r="P111" s="5" t="s">
        <v>334</v>
      </c>
      <c r="Q111" s="311">
        <f t="shared" ref="Q111:AC111" si="36">SUM(Q109:Q110)</f>
        <v>0</v>
      </c>
      <c r="R111" s="311">
        <f t="shared" si="36"/>
        <v>0</v>
      </c>
      <c r="S111" s="311">
        <f t="shared" si="36"/>
        <v>0</v>
      </c>
      <c r="T111" s="311">
        <f t="shared" si="36"/>
        <v>0</v>
      </c>
      <c r="U111" s="311">
        <f t="shared" si="36"/>
        <v>0</v>
      </c>
      <c r="V111" s="311">
        <f t="shared" si="36"/>
        <v>0</v>
      </c>
      <c r="W111" s="311">
        <f t="shared" si="36"/>
        <v>0</v>
      </c>
      <c r="X111" s="311">
        <f t="shared" si="36"/>
        <v>0</v>
      </c>
      <c r="Y111" s="311">
        <f t="shared" si="36"/>
        <v>0</v>
      </c>
      <c r="Z111" s="311">
        <f t="shared" si="36"/>
        <v>0</v>
      </c>
      <c r="AA111" s="311">
        <f t="shared" si="36"/>
        <v>0</v>
      </c>
      <c r="AB111" s="311">
        <f t="shared" si="36"/>
        <v>0</v>
      </c>
      <c r="AC111" s="311">
        <f t="shared" si="36"/>
        <v>0</v>
      </c>
    </row>
    <row r="112" spans="1:29" x14ac:dyDescent="0.25">
      <c r="A112" s="5" t="s">
        <v>43</v>
      </c>
      <c r="B112" s="8">
        <f>IF(B110=0,1,B110/B109)</f>
        <v>1</v>
      </c>
      <c r="C112" s="8">
        <f t="shared" ref="C112:M112" si="37">IF(C110=0,1,C110/C109)</f>
        <v>1</v>
      </c>
      <c r="D112" s="8">
        <f t="shared" si="37"/>
        <v>1</v>
      </c>
      <c r="E112" s="8">
        <f t="shared" si="37"/>
        <v>1</v>
      </c>
      <c r="F112" s="8">
        <f t="shared" si="37"/>
        <v>1</v>
      </c>
      <c r="G112" s="8">
        <f t="shared" si="37"/>
        <v>1</v>
      </c>
      <c r="H112" s="8">
        <f t="shared" si="37"/>
        <v>1</v>
      </c>
      <c r="I112" s="8">
        <f t="shared" si="37"/>
        <v>1</v>
      </c>
      <c r="J112" s="8">
        <f t="shared" si="37"/>
        <v>1</v>
      </c>
      <c r="K112" s="8">
        <f t="shared" si="37"/>
        <v>1</v>
      </c>
      <c r="L112" s="8">
        <f t="shared" si="37"/>
        <v>1</v>
      </c>
      <c r="M112" s="8">
        <f t="shared" si="37"/>
        <v>1</v>
      </c>
      <c r="N112" s="8" t="str">
        <f t="shared" ref="N112" si="38">IF(N110=0,"100%",N110/N109)</f>
        <v>100%</v>
      </c>
    </row>
    <row r="113" spans="1:14" x14ac:dyDescent="0.25">
      <c r="A113" s="5" t="s">
        <v>44</v>
      </c>
      <c r="B113" s="4">
        <f>B112</f>
        <v>1</v>
      </c>
      <c r="C113" s="4">
        <f>AVERAGE($B$112:C$112)</f>
        <v>1</v>
      </c>
      <c r="D113" s="4">
        <f>AVERAGE($B$112:D$112)</f>
        <v>1</v>
      </c>
      <c r="E113" s="4">
        <f>AVERAGE($B$112:E$112)</f>
        <v>1</v>
      </c>
      <c r="F113" s="4">
        <f>AVERAGE($B$112:F$112)</f>
        <v>1</v>
      </c>
      <c r="G113" s="4">
        <f>AVERAGE($B$112:G$112)</f>
        <v>1</v>
      </c>
      <c r="H113" s="4">
        <f>AVERAGE($B$112:H$112)</f>
        <v>1</v>
      </c>
      <c r="I113" s="4">
        <f>AVERAGE($B$112:I$112)</f>
        <v>1</v>
      </c>
      <c r="J113" s="4">
        <f>AVERAGE($B$112:J$112)</f>
        <v>1</v>
      </c>
      <c r="K113" s="4">
        <f>AVERAGE($B$112:K$112)</f>
        <v>1</v>
      </c>
      <c r="L113" s="4">
        <f>AVERAGE($B$112:L$112)</f>
        <v>1</v>
      </c>
      <c r="M113" s="4">
        <f>AVERAGE($B$112:M$112)</f>
        <v>1</v>
      </c>
      <c r="N113" s="4"/>
    </row>
  </sheetData>
  <conditionalFormatting sqref="B66:M66">
    <cfRule type="cellIs" dxfId="47" priority="1" operator="equal">
      <formula>1</formula>
    </cfRule>
    <cfRule type="cellIs" dxfId="46" priority="2" operator="lessThan">
      <formula>1</formula>
    </cfRule>
    <cfRule type="cellIs" dxfId="45" priority="3" operator="greaterThan">
      <formula>1</formula>
    </cfRule>
  </conditionalFormatting>
  <conditionalFormatting sqref="B104:M104">
    <cfRule type="cellIs" dxfId="44" priority="7" operator="equal">
      <formula>1</formula>
    </cfRule>
    <cfRule type="cellIs" dxfId="43" priority="8" operator="lessThan">
      <formula>1</formula>
    </cfRule>
    <cfRule type="cellIs" dxfId="42" priority="9" operator="greaterThan">
      <formula>1</formula>
    </cfRule>
  </conditionalFormatting>
  <conditionalFormatting sqref="B113:M113">
    <cfRule type="cellIs" dxfId="41" priority="4" operator="equal">
      <formula>1</formula>
    </cfRule>
    <cfRule type="cellIs" dxfId="40" priority="5" operator="lessThan">
      <formula>1</formula>
    </cfRule>
    <cfRule type="cellIs" dxfId="39" priority="6" operator="greaterThan">
      <formula>1</formula>
    </cfRule>
  </conditionalFormatting>
  <conditionalFormatting sqref="B6:N7">
    <cfRule type="cellIs" dxfId="38" priority="60" operator="greaterThan">
      <formula>1</formula>
    </cfRule>
    <cfRule type="cellIs" dxfId="37" priority="59" operator="lessThan">
      <formula>1</formula>
    </cfRule>
    <cfRule type="cellIs" dxfId="36" priority="58" operator="equal">
      <formula>1</formula>
    </cfRule>
  </conditionalFormatting>
  <conditionalFormatting sqref="B15:N16">
    <cfRule type="cellIs" dxfId="35" priority="56" operator="lessThan">
      <formula>1</formula>
    </cfRule>
    <cfRule type="cellIs" dxfId="34" priority="55" operator="equal">
      <formula>1</formula>
    </cfRule>
    <cfRule type="cellIs" dxfId="33" priority="57" operator="greaterThan">
      <formula>1</formula>
    </cfRule>
  </conditionalFormatting>
  <conditionalFormatting sqref="B24:N25">
    <cfRule type="cellIs" dxfId="32" priority="54" operator="greaterThan">
      <formula>1</formula>
    </cfRule>
    <cfRule type="cellIs" dxfId="31" priority="52" operator="equal">
      <formula>1</formula>
    </cfRule>
    <cfRule type="cellIs" dxfId="30" priority="53" operator="lessThan">
      <formula>1</formula>
    </cfRule>
  </conditionalFormatting>
  <conditionalFormatting sqref="B32:N33">
    <cfRule type="cellIs" dxfId="29" priority="49" operator="equal">
      <formula>1</formula>
    </cfRule>
    <cfRule type="cellIs" dxfId="28" priority="50" operator="lessThan">
      <formula>1</formula>
    </cfRule>
    <cfRule type="cellIs" dxfId="27" priority="51" operator="greaterThan">
      <formula>1</formula>
    </cfRule>
  </conditionalFormatting>
  <conditionalFormatting sqref="B40:N41">
    <cfRule type="cellIs" dxfId="26" priority="46" operator="equal">
      <formula>1</formula>
    </cfRule>
    <cfRule type="cellIs" dxfId="25" priority="47" operator="lessThan">
      <formula>1</formula>
    </cfRule>
    <cfRule type="cellIs" dxfId="24" priority="48" operator="greaterThan">
      <formula>1</formula>
    </cfRule>
  </conditionalFormatting>
  <conditionalFormatting sqref="B49:N49">
    <cfRule type="cellIs" dxfId="23" priority="10" operator="equal">
      <formula>1</formula>
    </cfRule>
    <cfRule type="cellIs" dxfId="22" priority="11" operator="lessThan">
      <formula>1</formula>
    </cfRule>
    <cfRule type="cellIs" dxfId="21" priority="12" operator="greaterThan">
      <formula>1</formula>
    </cfRule>
  </conditionalFormatting>
  <conditionalFormatting sqref="B57:N58">
    <cfRule type="cellIs" dxfId="20" priority="41" operator="lessThan">
      <formula>1</formula>
    </cfRule>
    <cfRule type="cellIs" dxfId="19" priority="42" operator="greaterThan">
      <formula>1</formula>
    </cfRule>
    <cfRule type="cellIs" dxfId="18" priority="40" operator="equal">
      <formula>1</formula>
    </cfRule>
  </conditionalFormatting>
  <conditionalFormatting sqref="B65:N65">
    <cfRule type="cellIs" dxfId="17" priority="34" operator="equal">
      <formula>1</formula>
    </cfRule>
    <cfRule type="cellIs" dxfId="16" priority="35" operator="lessThan">
      <formula>1</formula>
    </cfRule>
    <cfRule type="cellIs" dxfId="15" priority="36" operator="greaterThan">
      <formula>1</formula>
    </cfRule>
  </conditionalFormatting>
  <conditionalFormatting sqref="B74:N74 B75:M75">
    <cfRule type="cellIs" dxfId="14" priority="32" operator="lessThan">
      <formula>1</formula>
    </cfRule>
    <cfRule type="cellIs" dxfId="13" priority="33" operator="greaterThan">
      <formula>1</formula>
    </cfRule>
    <cfRule type="cellIs" dxfId="12" priority="31" operator="equal">
      <formula>1</formula>
    </cfRule>
  </conditionalFormatting>
  <conditionalFormatting sqref="B85:N85 B86:M86">
    <cfRule type="cellIs" dxfId="11" priority="30" operator="greaterThan">
      <formula>1</formula>
    </cfRule>
    <cfRule type="cellIs" dxfId="10" priority="29" operator="lessThan">
      <formula>1</formula>
    </cfRule>
    <cfRule type="cellIs" dxfId="9" priority="28" operator="equal">
      <formula>1</formula>
    </cfRule>
  </conditionalFormatting>
  <conditionalFormatting sqref="B94:N94 B95:M95">
    <cfRule type="cellIs" dxfId="8" priority="25" operator="equal">
      <formula>1</formula>
    </cfRule>
    <cfRule type="cellIs" dxfId="7" priority="27" operator="greaterThan">
      <formula>1</formula>
    </cfRule>
    <cfRule type="cellIs" dxfId="6" priority="26" operator="lessThan">
      <formula>1</formula>
    </cfRule>
  </conditionalFormatting>
  <conditionalFormatting sqref="B103:N103">
    <cfRule type="cellIs" dxfId="5" priority="13" operator="equal">
      <formula>1</formula>
    </cfRule>
    <cfRule type="cellIs" dxfId="4" priority="14" operator="lessThan">
      <formula>1</formula>
    </cfRule>
    <cfRule type="cellIs" dxfId="3" priority="15" operator="greaterThan">
      <formula>1</formula>
    </cfRule>
  </conditionalFormatting>
  <conditionalFormatting sqref="B112:N112">
    <cfRule type="cellIs" dxfId="2" priority="19" operator="equal">
      <formula>1</formula>
    </cfRule>
    <cfRule type="cellIs" dxfId="1" priority="20" operator="lessThan">
      <formula>1</formula>
    </cfRule>
    <cfRule type="cellIs" dxfId="0" priority="21" operator="greaterThan">
      <formula>1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31" customWidth="1"/>
    <col min="2" max="2" width="25.5703125" style="31" customWidth="1"/>
    <col min="3" max="3" width="37.5703125" style="31" customWidth="1"/>
    <col min="4" max="4" width="19.85546875" style="30" customWidth="1"/>
    <col min="5" max="5" width="14.85546875" style="30" customWidth="1"/>
    <col min="6" max="6" width="17.5703125" style="30" bestFit="1" customWidth="1"/>
    <col min="7" max="7" width="12.85546875" style="30" customWidth="1"/>
    <col min="8" max="8" width="12.42578125" style="30" customWidth="1"/>
    <col min="9" max="9" width="17.5703125" style="30" bestFit="1" customWidth="1"/>
    <col min="10" max="10" width="9.140625" style="30"/>
    <col min="11" max="12" width="9.140625" style="31"/>
    <col min="13" max="13" width="9" style="31" customWidth="1"/>
    <col min="14" max="18" width="9.140625" style="31" customWidth="1"/>
    <col min="19" max="16384" width="9.140625" style="31"/>
  </cols>
  <sheetData>
    <row r="1" spans="1:15" ht="20.25" x14ac:dyDescent="0.3">
      <c r="A1" s="572" t="s">
        <v>100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5" ht="20.25" x14ac:dyDescent="0.3">
      <c r="A2" s="572" t="s">
        <v>98</v>
      </c>
      <c r="B2" s="572"/>
      <c r="C2" s="572"/>
      <c r="D2" s="572"/>
      <c r="E2" s="572"/>
      <c r="F2" s="572"/>
      <c r="G2" s="572"/>
      <c r="H2" s="572"/>
      <c r="I2" s="572"/>
      <c r="J2" s="572"/>
    </row>
    <row r="3" spans="1:15" ht="15" customHeight="1" x14ac:dyDescent="0.2">
      <c r="A3" s="28"/>
      <c r="B3" s="46"/>
      <c r="C3" s="28"/>
      <c r="D3" s="29"/>
      <c r="E3" s="29"/>
    </row>
    <row r="4" spans="1:15" x14ac:dyDescent="0.2">
      <c r="A4" s="45" t="s">
        <v>99</v>
      </c>
      <c r="B4" s="92" t="s">
        <v>29</v>
      </c>
      <c r="C4" s="28"/>
      <c r="D4" s="29"/>
      <c r="E4" s="29"/>
    </row>
    <row r="5" spans="1:15" x14ac:dyDescent="0.2">
      <c r="A5" s="45" t="s">
        <v>102</v>
      </c>
      <c r="B5" s="92" t="s">
        <v>103</v>
      </c>
      <c r="C5" s="28"/>
      <c r="D5" s="29"/>
      <c r="E5" s="29"/>
    </row>
    <row r="6" spans="1:15" x14ac:dyDescent="0.2">
      <c r="A6" s="45" t="s">
        <v>101</v>
      </c>
      <c r="B6" s="92" t="s">
        <v>104</v>
      </c>
      <c r="C6" s="28"/>
      <c r="D6" s="29"/>
      <c r="E6" s="29"/>
    </row>
    <row r="7" spans="1:15" x14ac:dyDescent="0.2">
      <c r="A7" s="28"/>
      <c r="B7" s="28"/>
      <c r="C7" s="28"/>
      <c r="D7" s="29"/>
      <c r="E7" s="29"/>
    </row>
    <row r="8" spans="1:15" s="32" customFormat="1" x14ac:dyDescent="0.2">
      <c r="A8" s="88" t="s">
        <v>57</v>
      </c>
      <c r="B8" s="94" t="s">
        <v>58</v>
      </c>
      <c r="C8" s="88" t="s">
        <v>0</v>
      </c>
      <c r="D8" s="89" t="s">
        <v>41</v>
      </c>
      <c r="E8" s="89" t="s">
        <v>92</v>
      </c>
      <c r="F8" s="90" t="s">
        <v>93</v>
      </c>
      <c r="G8" s="90" t="s">
        <v>91</v>
      </c>
      <c r="H8" s="89" t="s">
        <v>94</v>
      </c>
      <c r="I8" s="90" t="s">
        <v>95</v>
      </c>
      <c r="J8" s="91" t="s">
        <v>44</v>
      </c>
      <c r="N8" s="32" t="s">
        <v>29</v>
      </c>
      <c r="O8" s="93" t="s">
        <v>116</v>
      </c>
    </row>
    <row r="9" spans="1:15" x14ac:dyDescent="0.2">
      <c r="A9" s="574" t="s">
        <v>59</v>
      </c>
      <c r="B9" s="86" t="s">
        <v>60</v>
      </c>
      <c r="C9" s="35" t="s">
        <v>1</v>
      </c>
      <c r="D9" s="11" t="s">
        <v>61</v>
      </c>
      <c r="E9" s="19">
        <f>HLOOKUP(B4,'Database Corp.'!B2:M6,2,0)</f>
        <v>26485</v>
      </c>
      <c r="F9" s="25">
        <f>HLOOKUP(B4,'Database Corp.'!B2:M6,3,0)</f>
        <v>25308.978539000003</v>
      </c>
      <c r="G9" s="23">
        <f>HLOOKUP(B4,'Database Corp.'!B2:M6,5,0)</f>
        <v>0.95559669771568823</v>
      </c>
      <c r="H9" s="24">
        <f>'Database Corp.'!N3</f>
        <v>364631</v>
      </c>
      <c r="I9" s="25">
        <f>HLOOKUP(B4,'Database Corp.'!B2:M5,4,0)</f>
        <v>25308.978539000003</v>
      </c>
      <c r="J9" s="53">
        <f>HLOOKUP(B4,'Database Corp.'!B2:N7,5,0)</f>
        <v>0.95559669771568823</v>
      </c>
      <c r="N9" s="32" t="s">
        <v>30</v>
      </c>
      <c r="O9" s="31" t="s">
        <v>117</v>
      </c>
    </row>
    <row r="10" spans="1:15" x14ac:dyDescent="0.2">
      <c r="A10" s="574"/>
      <c r="B10" s="570" t="s">
        <v>62</v>
      </c>
      <c r="C10" s="37" t="s">
        <v>2</v>
      </c>
      <c r="D10" s="33" t="s">
        <v>63</v>
      </c>
      <c r="E10" s="47">
        <f>HLOOKUP(B4,'Database Corp.'!B11:M16,2,0)</f>
        <v>4282</v>
      </c>
      <c r="F10" s="48">
        <f>HLOOKUP(B4,'Database Corp.'!B11:M16,3,0)</f>
        <v>4297.4398750000037</v>
      </c>
      <c r="G10" s="49">
        <f>HLOOKUP(B4,'Database Corp.'!B11:M15,5,0)</f>
        <v>1.0036057624941626</v>
      </c>
      <c r="H10" s="48">
        <f>'Database Corp.'!N12</f>
        <v>67031</v>
      </c>
      <c r="I10" s="48">
        <f>HLOOKUP(B4,'Database Corp.'!B11:M14,4,0)</f>
        <v>4297.4398750000037</v>
      </c>
      <c r="J10" s="54">
        <f>I10/H10</f>
        <v>6.4111230251674658E-2</v>
      </c>
      <c r="N10" s="32" t="s">
        <v>31</v>
      </c>
      <c r="O10" s="31" t="s">
        <v>118</v>
      </c>
    </row>
    <row r="11" spans="1:15" x14ac:dyDescent="0.2">
      <c r="A11" s="574"/>
      <c r="B11" s="570"/>
      <c r="C11" s="35" t="s">
        <v>3</v>
      </c>
      <c r="D11" s="12" t="s">
        <v>64</v>
      </c>
      <c r="E11" s="20">
        <f>HLOOKUP(B4,'Database Corp.'!B20:M23,2,0)</f>
        <v>-378</v>
      </c>
      <c r="F11" s="24">
        <f>HLOOKUP(B4,'Database Corp.'!B20:M22,3,0)</f>
        <v>435.96089399999573</v>
      </c>
      <c r="G11" s="23">
        <f>HLOOKUP(B4,'Database Corp.'!B20:M24,5,0)</f>
        <v>-1.153335698412687</v>
      </c>
      <c r="H11" s="24">
        <f>'Database Corp.'!N21</f>
        <v>19043</v>
      </c>
      <c r="I11" s="24">
        <f>HLOOKUP(B4,'Database Corp.'!B20:M23,4,0)</f>
        <v>435.96089399999573</v>
      </c>
      <c r="J11" s="53">
        <f>HLOOKUP(B4,'Database Corp.'!B20:M25,6,0)</f>
        <v>-1.153335698412687</v>
      </c>
      <c r="N11" s="32" t="s">
        <v>32</v>
      </c>
      <c r="O11" s="31" t="s">
        <v>119</v>
      </c>
    </row>
    <row r="12" spans="1:15" x14ac:dyDescent="0.2">
      <c r="A12" s="574"/>
      <c r="B12" s="570" t="s">
        <v>65</v>
      </c>
      <c r="C12" s="37" t="s">
        <v>4</v>
      </c>
      <c r="D12" s="34" t="s">
        <v>66</v>
      </c>
      <c r="E12" s="47">
        <f>HLOOKUP(B4,'Database Corp.'!B29:M33,2,0)</f>
        <v>7.4999999999999997E-2</v>
      </c>
      <c r="F12" s="48">
        <f>HLOOKUP(B4,'Database Corp.'!B29:M33,3,0)</f>
        <v>6.6175579564349163E-2</v>
      </c>
      <c r="G12" s="49" t="e">
        <f>HLOOKUP(B4,'Database Corp.'!B29:M32,5,0)</f>
        <v>#REF!</v>
      </c>
      <c r="H12" s="48">
        <f>'Database Corp.'!N30</f>
        <v>7.4999999999999983E-2</v>
      </c>
      <c r="I12" s="48" t="e">
        <f>HLOOKUP(B4,'Database Corp.'!B29:M31,4,0)</f>
        <v>#REF!</v>
      </c>
      <c r="J12" s="54" t="e">
        <f t="shared" ref="J12:J14" si="0">I12/H12</f>
        <v>#REF!</v>
      </c>
      <c r="N12" s="32" t="s">
        <v>33</v>
      </c>
    </row>
    <row r="13" spans="1:15" x14ac:dyDescent="0.2">
      <c r="A13" s="574"/>
      <c r="B13" s="570"/>
      <c r="C13" s="35" t="s">
        <v>5</v>
      </c>
      <c r="D13" s="11" t="s">
        <v>67</v>
      </c>
      <c r="E13" s="22">
        <f>HLOOKUP(B4,'Database Corp.'!B37:M39,2,0)</f>
        <v>0.95</v>
      </c>
      <c r="F13" s="23">
        <f>HLOOKUP(B4,'Database Corp.'!B37:M39,3,0)</f>
        <v>0.87865198309107195</v>
      </c>
      <c r="G13" s="23" t="e">
        <f>HLOOKUP(B4,'Database Corp.'!B37:M39,4,0)</f>
        <v>#REF!</v>
      </c>
      <c r="H13" s="23">
        <f>'Database Corp.'!N38</f>
        <v>0.94999999999999984</v>
      </c>
      <c r="I13" s="23" t="e">
        <f>HLOOKUP(B4,'Database Corp.'!B37:M40,5,0)</f>
        <v>#REF!</v>
      </c>
      <c r="J13" s="53" t="e">
        <f>HLOOKUP(B4,'Database Corp.'!B37:N40,5,0)</f>
        <v>#REF!</v>
      </c>
      <c r="N13" s="32" t="s">
        <v>34</v>
      </c>
      <c r="O13" s="31" t="s">
        <v>104</v>
      </c>
    </row>
    <row r="14" spans="1:15" x14ac:dyDescent="0.2">
      <c r="A14" s="575"/>
      <c r="B14" s="571"/>
      <c r="C14" s="55" t="s">
        <v>6</v>
      </c>
      <c r="D14" s="56" t="s">
        <v>68</v>
      </c>
      <c r="E14" s="57">
        <f>HLOOKUP(B4,'Database Corp.'!B44:M47,2,0)</f>
        <v>1.2E-2</v>
      </c>
      <c r="F14" s="58">
        <f>HLOOKUP(B4,'Database Corp.'!B44:M46,3,0)</f>
        <v>1.2E-2</v>
      </c>
      <c r="G14" s="59">
        <f>HLOOKUP(B4,'Database Corp.'!B44:M48,5,0)</f>
        <v>1</v>
      </c>
      <c r="H14" s="58">
        <f>'Database Corp.'!N45</f>
        <v>1.1999999999999999E-2</v>
      </c>
      <c r="I14" s="58">
        <f>HLOOKUP(B4,'Database Corp.'!B44:M47,4,0)</f>
        <v>1.2E-2</v>
      </c>
      <c r="J14" s="60">
        <f t="shared" si="0"/>
        <v>1.0000000000000002</v>
      </c>
      <c r="N14" s="32" t="s">
        <v>35</v>
      </c>
      <c r="O14" s="31" t="s">
        <v>105</v>
      </c>
    </row>
    <row r="15" spans="1:15" x14ac:dyDescent="0.2">
      <c r="A15" s="573" t="s">
        <v>69</v>
      </c>
      <c r="B15" s="569" t="s">
        <v>70</v>
      </c>
      <c r="C15" s="61" t="s">
        <v>7</v>
      </c>
      <c r="D15" s="62">
        <v>1</v>
      </c>
      <c r="E15" s="63" t="s">
        <v>97</v>
      </c>
      <c r="F15" s="64" t="s">
        <v>97</v>
      </c>
      <c r="G15" s="65" t="str">
        <f>IFERROR(F15/E15&lt;=0,"WIP")</f>
        <v>WIP</v>
      </c>
      <c r="H15" s="64" t="s">
        <v>97</v>
      </c>
      <c r="I15" s="64" t="s">
        <v>97</v>
      </c>
      <c r="J15" s="66" t="str">
        <f t="shared" ref="J15:J18" si="1">IFERROR(I15/H15&lt;=0,"WIP")</f>
        <v>WIP</v>
      </c>
      <c r="N15" s="32" t="s">
        <v>36</v>
      </c>
      <c r="O15" s="31" t="s">
        <v>106</v>
      </c>
    </row>
    <row r="16" spans="1:15" x14ac:dyDescent="0.2">
      <c r="A16" s="574"/>
      <c r="B16" s="570"/>
      <c r="C16" s="38" t="s">
        <v>8</v>
      </c>
      <c r="D16" s="95">
        <v>0</v>
      </c>
      <c r="E16" s="95">
        <f>HLOOKUP(B4,'Database Corp.'!B52:M55,2,0)</f>
        <v>0</v>
      </c>
      <c r="F16" s="96">
        <f>HLOOKUP(B4,'Database Corp.'!B52:M54,3,0)</f>
        <v>0</v>
      </c>
      <c r="G16" s="49">
        <f>IFERROR(F16/E16=0,1)</f>
        <v>1</v>
      </c>
      <c r="H16" s="96">
        <f>'Database Corp.'!N53</f>
        <v>0</v>
      </c>
      <c r="I16" s="96">
        <f>HLOOKUP(B4,'Database Corp.'!B52:M54,3,0)</f>
        <v>0</v>
      </c>
      <c r="J16" s="54">
        <f>HLOOKUP(B4,'Database Corp.'!B52:M57,6,0)</f>
        <v>1</v>
      </c>
      <c r="N16" s="32" t="s">
        <v>37</v>
      </c>
      <c r="O16" s="31" t="s">
        <v>107</v>
      </c>
    </row>
    <row r="17" spans="1:15" ht="25.5" x14ac:dyDescent="0.2">
      <c r="A17" s="574"/>
      <c r="B17" s="86" t="s">
        <v>71</v>
      </c>
      <c r="C17" s="36" t="s">
        <v>9</v>
      </c>
      <c r="D17" s="13" t="s">
        <v>72</v>
      </c>
      <c r="E17" s="21" t="s">
        <v>97</v>
      </c>
      <c r="F17" s="24" t="s">
        <v>97</v>
      </c>
      <c r="G17" s="23" t="str">
        <f t="shared" ref="G17:G18" si="2">IFERROR(F17/E17&lt;=0,"WIP")</f>
        <v>WIP</v>
      </c>
      <c r="H17" s="21" t="s">
        <v>97</v>
      </c>
      <c r="I17" s="24" t="s">
        <v>97</v>
      </c>
      <c r="J17" s="53" t="str">
        <f t="shared" si="1"/>
        <v>WIP</v>
      </c>
      <c r="N17" s="32" t="s">
        <v>38</v>
      </c>
      <c r="O17" s="31" t="s">
        <v>108</v>
      </c>
    </row>
    <row r="18" spans="1:15" ht="25.5" x14ac:dyDescent="0.2">
      <c r="A18" s="575"/>
      <c r="B18" s="87" t="s">
        <v>73</v>
      </c>
      <c r="C18" s="55" t="s">
        <v>10</v>
      </c>
      <c r="D18" s="67">
        <v>1</v>
      </c>
      <c r="E18" s="68" t="s">
        <v>97</v>
      </c>
      <c r="F18" s="58" t="s">
        <v>97</v>
      </c>
      <c r="G18" s="59" t="str">
        <f t="shared" si="2"/>
        <v>WIP</v>
      </c>
      <c r="H18" s="68" t="s">
        <v>97</v>
      </c>
      <c r="I18" s="58" t="s">
        <v>97</v>
      </c>
      <c r="J18" s="60" t="str">
        <f t="shared" si="1"/>
        <v>WIP</v>
      </c>
      <c r="N18" s="32" t="s">
        <v>39</v>
      </c>
      <c r="O18" s="31" t="s">
        <v>109</v>
      </c>
    </row>
    <row r="19" spans="1:15" x14ac:dyDescent="0.2">
      <c r="A19" s="566" t="s">
        <v>74</v>
      </c>
      <c r="B19" s="569" t="s">
        <v>75</v>
      </c>
      <c r="C19" s="61" t="s">
        <v>11</v>
      </c>
      <c r="D19" s="69">
        <v>4.0000000000000001E-3</v>
      </c>
      <c r="E19" s="70" t="e">
        <f>HLOOKUP(B4,'Database Corp.'!#REF!,2,0)</f>
        <v>#REF!</v>
      </c>
      <c r="F19" s="71" t="e">
        <f>HLOOKUP(B4,'Database Corp.'!#REF!,3,0)</f>
        <v>#REF!</v>
      </c>
      <c r="G19" s="65" t="e">
        <f>HLOOKUP(B4,'Database Corp.'!#REF!,5,0)</f>
        <v>#REF!</v>
      </c>
      <c r="H19" s="71" t="e">
        <f>'Database Corp.'!#REF!</f>
        <v>#REF!</v>
      </c>
      <c r="I19" s="71" t="e">
        <f>HLOOKUP(B4,'Database Corp.'!#REF!,4,0)</f>
        <v>#REF!</v>
      </c>
      <c r="J19" s="66" t="e">
        <f>HLOOKUP(B4,'Database Corp.'!#REF!,6,0)</f>
        <v>#REF!</v>
      </c>
      <c r="N19" s="32" t="s">
        <v>40</v>
      </c>
      <c r="O19" s="31" t="s">
        <v>110</v>
      </c>
    </row>
    <row r="20" spans="1:15" x14ac:dyDescent="0.2">
      <c r="A20" s="567"/>
      <c r="B20" s="570"/>
      <c r="C20" s="37" t="s">
        <v>12</v>
      </c>
      <c r="D20" s="39">
        <v>0</v>
      </c>
      <c r="E20" s="51">
        <f>HLOOKUP(B4,'Database Corp.'!B61:M66,2,0)</f>
        <v>0</v>
      </c>
      <c r="F20" s="48">
        <f>HLOOKUP(B4,'Database Corp.'!B61:M63,3,0)</f>
        <v>10</v>
      </c>
      <c r="G20" s="52">
        <f>HLOOKUP(B4,'Database Corp.'!B61:M64,4,0)</f>
        <v>10</v>
      </c>
      <c r="H20" s="48">
        <f>'Database Corp.'!N62</f>
        <v>0</v>
      </c>
      <c r="I20" s="48">
        <f>HLOOKUP(B4,'Database Corp.'!B61:M66,4,0)</f>
        <v>10</v>
      </c>
      <c r="J20" s="54">
        <f>HLOOKUP(B4,'Database Corp.'!B61:M66,6,0)</f>
        <v>0</v>
      </c>
      <c r="O20" s="31" t="s">
        <v>111</v>
      </c>
    </row>
    <row r="21" spans="1:15" x14ac:dyDescent="0.2">
      <c r="A21" s="567"/>
      <c r="B21" s="570" t="s">
        <v>76</v>
      </c>
      <c r="C21" s="35" t="s">
        <v>13</v>
      </c>
      <c r="D21" s="14" t="s">
        <v>77</v>
      </c>
      <c r="E21" s="26" t="e">
        <f>HLOOKUP(B4,'Database Corp.'!#REF!,2,0)</f>
        <v>#REF!</v>
      </c>
      <c r="F21" s="27" t="e">
        <f>HLOOKUP(B4,'Database Corp.'!#REF!,3,0)</f>
        <v>#REF!</v>
      </c>
      <c r="G21" s="23" t="e">
        <f>HLOOKUP(B4,'Database Corp.'!#REF!,5,0)</f>
        <v>#REF!</v>
      </c>
      <c r="H21" s="27">
        <v>3000</v>
      </c>
      <c r="I21" s="27" t="e">
        <f>HLOOKUP(B4,'Database Corp.'!#REF!,4,0)</f>
        <v>#REF!</v>
      </c>
      <c r="J21" s="53" t="e">
        <f>HLOOKUP(B4,'Database Corp.'!#REF!,6,0)</f>
        <v>#REF!</v>
      </c>
      <c r="O21" s="31" t="s">
        <v>112</v>
      </c>
    </row>
    <row r="22" spans="1:15" x14ac:dyDescent="0.2">
      <c r="A22" s="567"/>
      <c r="B22" s="570"/>
      <c r="C22" s="37" t="s">
        <v>14</v>
      </c>
      <c r="D22" s="40">
        <v>0.85</v>
      </c>
      <c r="E22" s="50" t="s">
        <v>97</v>
      </c>
      <c r="F22" s="48" t="s">
        <v>97</v>
      </c>
      <c r="G22" s="49" t="str">
        <f t="shared" ref="G22:G35" si="3">IFERROR(F22/E22&lt;=0,"WIP")</f>
        <v>WIP</v>
      </c>
      <c r="H22" s="50" t="s">
        <v>97</v>
      </c>
      <c r="I22" s="48" t="s">
        <v>97</v>
      </c>
      <c r="J22" s="54" t="str">
        <f t="shared" ref="J22:J35" si="4">IFERROR(I22/H22&lt;=0,"WIP")</f>
        <v>WIP</v>
      </c>
      <c r="O22" s="31" t="s">
        <v>113</v>
      </c>
    </row>
    <row r="23" spans="1:15" ht="25.5" x14ac:dyDescent="0.2">
      <c r="A23" s="567"/>
      <c r="B23" s="570" t="s">
        <v>78</v>
      </c>
      <c r="C23" s="35" t="s">
        <v>15</v>
      </c>
      <c r="D23" s="15">
        <v>1.2E-2</v>
      </c>
      <c r="E23" s="21" t="s">
        <v>97</v>
      </c>
      <c r="F23" s="24" t="s">
        <v>97</v>
      </c>
      <c r="G23" s="23" t="str">
        <f t="shared" si="3"/>
        <v>WIP</v>
      </c>
      <c r="H23" s="21" t="s">
        <v>97</v>
      </c>
      <c r="I23" s="24" t="s">
        <v>97</v>
      </c>
      <c r="J23" s="53" t="str">
        <f t="shared" si="4"/>
        <v>WIP</v>
      </c>
      <c r="O23" s="31" t="s">
        <v>114</v>
      </c>
    </row>
    <row r="24" spans="1:15" ht="25.5" x14ac:dyDescent="0.2">
      <c r="A24" s="567"/>
      <c r="B24" s="570"/>
      <c r="C24" s="37" t="s">
        <v>16</v>
      </c>
      <c r="D24" s="41">
        <v>3.3000000000000002E-2</v>
      </c>
      <c r="E24" s="50" t="s">
        <v>97</v>
      </c>
      <c r="F24" s="48" t="s">
        <v>97</v>
      </c>
      <c r="G24" s="49" t="str">
        <f t="shared" si="3"/>
        <v>WIP</v>
      </c>
      <c r="H24" s="50" t="s">
        <v>97</v>
      </c>
      <c r="I24" s="48" t="s">
        <v>97</v>
      </c>
      <c r="J24" s="54" t="str">
        <f t="shared" si="4"/>
        <v>WIP</v>
      </c>
      <c r="O24" s="31" t="s">
        <v>115</v>
      </c>
    </row>
    <row r="25" spans="1:15" ht="25.5" x14ac:dyDescent="0.2">
      <c r="A25" s="567"/>
      <c r="B25" s="570"/>
      <c r="C25" s="35" t="s">
        <v>17</v>
      </c>
      <c r="D25" s="16">
        <v>0.06</v>
      </c>
      <c r="E25" s="21" t="s">
        <v>97</v>
      </c>
      <c r="F25" s="24" t="s">
        <v>97</v>
      </c>
      <c r="G25" s="23" t="str">
        <f t="shared" si="3"/>
        <v>WIP</v>
      </c>
      <c r="H25" s="21" t="s">
        <v>97</v>
      </c>
      <c r="I25" s="24" t="s">
        <v>97</v>
      </c>
      <c r="J25" s="53" t="str">
        <f t="shared" si="4"/>
        <v>WIP</v>
      </c>
    </row>
    <row r="26" spans="1:15" ht="25.5" x14ac:dyDescent="0.2">
      <c r="A26" s="567"/>
      <c r="B26" s="570"/>
      <c r="C26" s="37" t="s">
        <v>18</v>
      </c>
      <c r="D26" s="41">
        <v>5.0000000000000001E-4</v>
      </c>
      <c r="E26" s="50" t="s">
        <v>97</v>
      </c>
      <c r="F26" s="48" t="s">
        <v>97</v>
      </c>
      <c r="G26" s="49" t="str">
        <f t="shared" si="3"/>
        <v>WIP</v>
      </c>
      <c r="H26" s="50" t="s">
        <v>97</v>
      </c>
      <c r="I26" s="48" t="s">
        <v>97</v>
      </c>
      <c r="J26" s="54" t="str">
        <f t="shared" si="4"/>
        <v>WIP</v>
      </c>
    </row>
    <row r="27" spans="1:15" x14ac:dyDescent="0.2">
      <c r="A27" s="568"/>
      <c r="B27" s="87" t="s">
        <v>79</v>
      </c>
      <c r="C27" s="72" t="s">
        <v>19</v>
      </c>
      <c r="D27" s="73" t="s">
        <v>80</v>
      </c>
      <c r="E27" s="74" t="s">
        <v>97</v>
      </c>
      <c r="F27" s="75" t="s">
        <v>97</v>
      </c>
      <c r="G27" s="76" t="str">
        <f t="shared" si="3"/>
        <v>WIP</v>
      </c>
      <c r="H27" s="74" t="s">
        <v>97</v>
      </c>
      <c r="I27" s="75" t="s">
        <v>97</v>
      </c>
      <c r="J27" s="77" t="str">
        <f t="shared" si="4"/>
        <v>WIP</v>
      </c>
    </row>
    <row r="28" spans="1:15" x14ac:dyDescent="0.2">
      <c r="A28" s="566" t="s">
        <v>81</v>
      </c>
      <c r="B28" s="569" t="s">
        <v>82</v>
      </c>
      <c r="C28" s="78" t="s">
        <v>20</v>
      </c>
      <c r="D28" s="79" t="s">
        <v>83</v>
      </c>
      <c r="E28" s="80" t="s">
        <v>97</v>
      </c>
      <c r="F28" s="81" t="s">
        <v>97</v>
      </c>
      <c r="G28" s="82" t="str">
        <f t="shared" si="3"/>
        <v>WIP</v>
      </c>
      <c r="H28" s="80" t="s">
        <v>97</v>
      </c>
      <c r="I28" s="81" t="s">
        <v>97</v>
      </c>
      <c r="J28" s="83" t="str">
        <f t="shared" si="4"/>
        <v>WIP</v>
      </c>
    </row>
    <row r="29" spans="1:15" x14ac:dyDescent="0.2">
      <c r="A29" s="567"/>
      <c r="B29" s="570"/>
      <c r="C29" s="35" t="s">
        <v>21</v>
      </c>
      <c r="D29" s="17">
        <v>0.75</v>
      </c>
      <c r="E29" s="21" t="s">
        <v>97</v>
      </c>
      <c r="F29" s="24" t="s">
        <v>97</v>
      </c>
      <c r="G29" s="23" t="str">
        <f t="shared" si="3"/>
        <v>WIP</v>
      </c>
      <c r="H29" s="21" t="s">
        <v>97</v>
      </c>
      <c r="I29" s="24" t="s">
        <v>97</v>
      </c>
      <c r="J29" s="53" t="str">
        <f t="shared" si="4"/>
        <v>WIP</v>
      </c>
    </row>
    <row r="30" spans="1:15" ht="25.5" x14ac:dyDescent="0.2">
      <c r="A30" s="567"/>
      <c r="B30" s="570"/>
      <c r="C30" s="37" t="s">
        <v>22</v>
      </c>
      <c r="D30" s="42" t="s">
        <v>84</v>
      </c>
      <c r="E30" s="50" t="s">
        <v>97</v>
      </c>
      <c r="F30" s="48" t="s">
        <v>97</v>
      </c>
      <c r="G30" s="49" t="str">
        <f t="shared" si="3"/>
        <v>WIP</v>
      </c>
      <c r="H30" s="50" t="s">
        <v>97</v>
      </c>
      <c r="I30" s="48" t="s">
        <v>97</v>
      </c>
      <c r="J30" s="54" t="str">
        <f t="shared" si="4"/>
        <v>WIP</v>
      </c>
    </row>
    <row r="31" spans="1:15" x14ac:dyDescent="0.2">
      <c r="A31" s="567"/>
      <c r="B31" s="570"/>
      <c r="C31" s="35" t="s">
        <v>23</v>
      </c>
      <c r="D31" s="17">
        <v>1</v>
      </c>
      <c r="E31" s="21" t="s">
        <v>97</v>
      </c>
      <c r="F31" s="24" t="s">
        <v>97</v>
      </c>
      <c r="G31" s="23" t="str">
        <f t="shared" si="3"/>
        <v>WIP</v>
      </c>
      <c r="H31" s="21" t="s">
        <v>97</v>
      </c>
      <c r="I31" s="24" t="s">
        <v>97</v>
      </c>
      <c r="J31" s="53" t="str">
        <f t="shared" si="4"/>
        <v>WIP</v>
      </c>
    </row>
    <row r="32" spans="1:15" x14ac:dyDescent="0.2">
      <c r="A32" s="567"/>
      <c r="B32" s="570" t="s">
        <v>85</v>
      </c>
      <c r="C32" s="37" t="s">
        <v>24</v>
      </c>
      <c r="D32" s="43" t="s">
        <v>86</v>
      </c>
      <c r="E32" s="50" t="s">
        <v>97</v>
      </c>
      <c r="F32" s="48" t="s">
        <v>97</v>
      </c>
      <c r="G32" s="49" t="str">
        <f t="shared" si="3"/>
        <v>WIP</v>
      </c>
      <c r="H32" s="50" t="s">
        <v>97</v>
      </c>
      <c r="I32" s="48" t="s">
        <v>97</v>
      </c>
      <c r="J32" s="54" t="str">
        <f t="shared" si="4"/>
        <v>WIP</v>
      </c>
    </row>
    <row r="33" spans="1:10" ht="25.5" x14ac:dyDescent="0.2">
      <c r="A33" s="567"/>
      <c r="B33" s="570"/>
      <c r="C33" s="35" t="s">
        <v>25</v>
      </c>
      <c r="D33" s="18" t="s">
        <v>87</v>
      </c>
      <c r="E33" s="21" t="s">
        <v>97</v>
      </c>
      <c r="F33" s="24" t="s">
        <v>97</v>
      </c>
      <c r="G33" s="23" t="str">
        <f t="shared" si="3"/>
        <v>WIP</v>
      </c>
      <c r="H33" s="21" t="s">
        <v>97</v>
      </c>
      <c r="I33" s="24" t="s">
        <v>97</v>
      </c>
      <c r="J33" s="53" t="str">
        <f t="shared" si="4"/>
        <v>WIP</v>
      </c>
    </row>
    <row r="34" spans="1:10" ht="25.5" x14ac:dyDescent="0.2">
      <c r="A34" s="567"/>
      <c r="B34" s="570" t="s">
        <v>88</v>
      </c>
      <c r="C34" s="37" t="s">
        <v>26</v>
      </c>
      <c r="D34" s="44" t="s">
        <v>89</v>
      </c>
      <c r="E34" s="97">
        <v>1</v>
      </c>
      <c r="F34" s="97">
        <v>1</v>
      </c>
      <c r="G34" s="49">
        <f>F34/E34</f>
        <v>1</v>
      </c>
      <c r="H34" s="97">
        <v>1</v>
      </c>
      <c r="I34" s="97">
        <v>1</v>
      </c>
      <c r="J34" s="54">
        <f>I34/H34</f>
        <v>1</v>
      </c>
    </row>
    <row r="35" spans="1:10" x14ac:dyDescent="0.2">
      <c r="A35" s="568"/>
      <c r="B35" s="571"/>
      <c r="C35" s="84" t="s">
        <v>27</v>
      </c>
      <c r="D35" s="85" t="s">
        <v>90</v>
      </c>
      <c r="E35" s="74" t="s">
        <v>97</v>
      </c>
      <c r="F35" s="75" t="s">
        <v>97</v>
      </c>
      <c r="G35" s="76" t="str">
        <f t="shared" si="3"/>
        <v>WIP</v>
      </c>
      <c r="H35" s="74" t="s">
        <v>97</v>
      </c>
      <c r="I35" s="75" t="s">
        <v>97</v>
      </c>
      <c r="J35" s="77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F176-92A5-4D83-B346-7D437156E5EE}">
  <sheetPr>
    <pageSetUpPr fitToPage="1"/>
  </sheetPr>
  <dimension ref="A1:V85"/>
  <sheetViews>
    <sheetView showGridLines="0" topLeftCell="A5" zoomScale="70" zoomScaleNormal="70" zoomScaleSheetLayoutView="85" workbookViewId="0">
      <selection activeCell="L22" sqref="L22"/>
    </sheetView>
  </sheetViews>
  <sheetFormatPr defaultColWidth="7.85546875" defaultRowHeight="15.75" x14ac:dyDescent="0.25"/>
  <cols>
    <col min="1" max="1" width="1.7109375" style="98" customWidth="1"/>
    <col min="2" max="2" width="31.140625" style="102" customWidth="1"/>
    <col min="3" max="3" width="37" style="98" customWidth="1"/>
    <col min="4" max="4" width="42.7109375" style="98" customWidth="1"/>
    <col min="5" max="5" width="30" style="98" customWidth="1"/>
    <col min="6" max="6" width="18.7109375" style="117" bestFit="1" customWidth="1"/>
    <col min="7" max="7" width="12.140625" style="117" customWidth="1"/>
    <col min="8" max="8" width="12.7109375" style="98" customWidth="1"/>
    <col min="9" max="9" width="15.85546875" style="98" bestFit="1" customWidth="1"/>
    <col min="10" max="10" width="17.85546875" style="98" customWidth="1"/>
    <col min="11" max="12" width="16.140625" style="98" customWidth="1"/>
    <col min="13" max="14" width="15.42578125" style="98" customWidth="1"/>
    <col min="15" max="15" width="2.7109375" style="98" customWidth="1"/>
    <col min="16" max="16" width="8.7109375" style="98" bestFit="1" customWidth="1"/>
    <col min="17" max="17" width="10.85546875" style="98" bestFit="1" customWidth="1"/>
    <col min="18" max="18" width="7.85546875" style="99" bestFit="1" customWidth="1"/>
    <col min="19" max="19" width="18.140625" style="100" hidden="1" customWidth="1"/>
    <col min="20" max="20" width="18.28515625" style="99" hidden="1" customWidth="1"/>
    <col min="21" max="21" width="7.85546875" style="98" hidden="1" customWidth="1"/>
    <col min="22" max="23" width="7.85546875" style="98" customWidth="1"/>
    <col min="24" max="24" width="7.7109375" style="98" customWidth="1"/>
    <col min="25" max="16384" width="7.85546875" style="98"/>
  </cols>
  <sheetData>
    <row r="1" spans="2:22" ht="28.5" customHeight="1" x14ac:dyDescent="0.25">
      <c r="B1" s="416" t="s">
        <v>418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2:22" ht="28.5" customHeight="1" x14ac:dyDescent="0.25"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</row>
    <row r="3" spans="2:22" x14ac:dyDescent="0.25">
      <c r="B3" s="101"/>
      <c r="C3" s="101"/>
      <c r="D3" s="101"/>
      <c r="E3" s="101"/>
      <c r="F3" s="101"/>
      <c r="G3" s="101"/>
      <c r="H3" s="101"/>
      <c r="I3" s="101"/>
      <c r="J3" s="101"/>
      <c r="K3" s="423" t="s">
        <v>122</v>
      </c>
      <c r="L3" s="423"/>
      <c r="M3" s="423"/>
      <c r="N3" s="423"/>
    </row>
    <row r="4" spans="2:22" ht="30" customHeight="1" x14ac:dyDescent="0.25">
      <c r="B4" s="278" t="s">
        <v>123</v>
      </c>
      <c r="C4" s="103" t="s">
        <v>124</v>
      </c>
      <c r="D4" s="424" t="s">
        <v>214</v>
      </c>
      <c r="E4" s="424" t="s">
        <v>204</v>
      </c>
      <c r="F4" s="424"/>
      <c r="G4" s="424"/>
      <c r="H4" s="424"/>
      <c r="I4" s="406" t="s">
        <v>127</v>
      </c>
      <c r="J4" s="407"/>
      <c r="K4" s="425" t="s">
        <v>206</v>
      </c>
      <c r="L4" s="425"/>
      <c r="M4" s="105">
        <v>1.25</v>
      </c>
      <c r="N4" s="106">
        <v>1.5</v>
      </c>
      <c r="S4" s="266" t="s">
        <v>126</v>
      </c>
      <c r="T4" s="266"/>
      <c r="U4" s="266"/>
      <c r="V4" s="266"/>
    </row>
    <row r="5" spans="2:22" ht="30" customHeight="1" x14ac:dyDescent="0.25">
      <c r="B5" s="278" t="s">
        <v>128</v>
      </c>
      <c r="C5" s="103" t="s">
        <v>129</v>
      </c>
      <c r="D5" s="424"/>
      <c r="E5" s="424"/>
      <c r="F5" s="424"/>
      <c r="G5" s="424"/>
      <c r="H5" s="424"/>
      <c r="I5" s="408"/>
      <c r="J5" s="409"/>
      <c r="K5" s="426" t="s">
        <v>207</v>
      </c>
      <c r="L5" s="427"/>
      <c r="M5" s="107">
        <v>1.05</v>
      </c>
      <c r="N5" s="108">
        <v>1.25</v>
      </c>
      <c r="O5" s="109"/>
      <c r="P5" s="109"/>
      <c r="Q5" s="109"/>
      <c r="R5" s="109"/>
      <c r="S5" s="266" t="s">
        <v>204</v>
      </c>
      <c r="T5" s="266"/>
      <c r="U5" s="266"/>
      <c r="V5" s="266"/>
    </row>
    <row r="6" spans="2:22" ht="30" customHeight="1" x14ac:dyDescent="0.25">
      <c r="B6" s="103" t="s">
        <v>130</v>
      </c>
      <c r="C6" s="110" t="s">
        <v>131</v>
      </c>
      <c r="D6" s="424" t="s">
        <v>132</v>
      </c>
      <c r="E6" s="430">
        <f>N52</f>
        <v>0.81030190972983307</v>
      </c>
      <c r="F6" s="430"/>
      <c r="G6" s="430"/>
      <c r="H6" s="430"/>
      <c r="I6" s="410">
        <f>COUNTA(F14:F50,F58:F60)</f>
        <v>35</v>
      </c>
      <c r="J6" s="411"/>
      <c r="K6" s="431" t="s">
        <v>208</v>
      </c>
      <c r="L6" s="432"/>
      <c r="M6" s="111">
        <v>0.95</v>
      </c>
      <c r="N6" s="112">
        <v>1.05</v>
      </c>
      <c r="O6" s="109"/>
      <c r="P6" s="109"/>
      <c r="Q6" s="109"/>
      <c r="R6" s="109"/>
      <c r="S6" s="269" t="s">
        <v>29</v>
      </c>
    </row>
    <row r="7" spans="2:22" ht="30" customHeight="1" x14ac:dyDescent="0.25">
      <c r="B7" s="103" t="s">
        <v>133</v>
      </c>
      <c r="C7" s="103" t="s">
        <v>134</v>
      </c>
      <c r="D7" s="424"/>
      <c r="E7" s="430"/>
      <c r="F7" s="430"/>
      <c r="G7" s="430"/>
      <c r="H7" s="430"/>
      <c r="I7" s="412"/>
      <c r="J7" s="413"/>
      <c r="K7" s="433" t="s">
        <v>209</v>
      </c>
      <c r="L7" s="434"/>
      <c r="M7" s="113">
        <v>0.8</v>
      </c>
      <c r="N7" s="114">
        <v>0.95</v>
      </c>
      <c r="S7" s="100" t="s">
        <v>30</v>
      </c>
    </row>
    <row r="8" spans="2:22" ht="30" customHeight="1" x14ac:dyDescent="0.25">
      <c r="B8" s="103" t="s">
        <v>99</v>
      </c>
      <c r="C8" s="103" t="s">
        <v>135</v>
      </c>
      <c r="D8" s="104" t="s">
        <v>136</v>
      </c>
      <c r="E8" s="435" t="str">
        <f>N53</f>
        <v>C</v>
      </c>
      <c r="F8" s="436"/>
      <c r="G8" s="436"/>
      <c r="H8" s="437"/>
      <c r="I8" s="414"/>
      <c r="J8" s="415"/>
      <c r="K8" s="438" t="s">
        <v>210</v>
      </c>
      <c r="L8" s="439"/>
      <c r="M8" s="115">
        <v>0</v>
      </c>
      <c r="N8" s="116">
        <v>0.8</v>
      </c>
      <c r="S8" s="100" t="s">
        <v>31</v>
      </c>
      <c r="T8" s="99" t="s">
        <v>156</v>
      </c>
      <c r="U8" s="98" t="s">
        <v>157</v>
      </c>
    </row>
    <row r="9" spans="2:22" ht="12.75" customHeight="1" x14ac:dyDescent="0.25">
      <c r="B9" s="266"/>
      <c r="C9" s="266"/>
      <c r="D9" s="267"/>
      <c r="E9" s="268"/>
      <c r="F9" s="268"/>
      <c r="G9" s="268"/>
      <c r="H9" s="268"/>
      <c r="I9" s="268"/>
      <c r="J9" s="270"/>
      <c r="K9" s="271"/>
      <c r="L9" s="272"/>
      <c r="M9" s="273"/>
      <c r="N9" s="274"/>
      <c r="S9" s="100" t="s">
        <v>32</v>
      </c>
      <c r="T9" s="99" t="s">
        <v>161</v>
      </c>
      <c r="U9" s="98" t="s">
        <v>213</v>
      </c>
    </row>
    <row r="10" spans="2:22" ht="21" customHeight="1" x14ac:dyDescent="0.25">
      <c r="B10" s="277" t="s">
        <v>33</v>
      </c>
      <c r="C10" s="266" t="s">
        <v>205</v>
      </c>
      <c r="D10" s="267"/>
      <c r="E10" s="268"/>
      <c r="F10" s="268"/>
      <c r="G10" s="268"/>
      <c r="H10" s="268"/>
      <c r="I10" s="268"/>
      <c r="J10" s="270"/>
      <c r="K10" s="271"/>
      <c r="L10" s="272"/>
      <c r="M10" s="273"/>
      <c r="N10" s="274"/>
      <c r="S10" s="100" t="s">
        <v>33</v>
      </c>
      <c r="T10" s="99" t="s">
        <v>165</v>
      </c>
    </row>
    <row r="11" spans="2:22" ht="14.25" customHeight="1" thickBot="1" x14ac:dyDescent="0.3">
      <c r="B11" s="282"/>
      <c r="C11" s="266"/>
      <c r="D11" s="267"/>
      <c r="E11" s="268"/>
      <c r="F11" s="268"/>
      <c r="G11" s="268"/>
      <c r="H11" s="268"/>
      <c r="I11" s="268"/>
      <c r="J11" s="270"/>
      <c r="K11" s="271"/>
      <c r="L11" s="272"/>
      <c r="M11" s="273"/>
      <c r="N11" s="274"/>
      <c r="S11" s="100" t="s">
        <v>35</v>
      </c>
      <c r="T11" s="99" t="s">
        <v>211</v>
      </c>
    </row>
    <row r="12" spans="2:22" s="99" customFormat="1" x14ac:dyDescent="0.25">
      <c r="B12" s="440" t="s">
        <v>137</v>
      </c>
      <c r="C12" s="428" t="s">
        <v>138</v>
      </c>
      <c r="D12" s="428" t="s">
        <v>351</v>
      </c>
      <c r="E12" s="428" t="s">
        <v>140</v>
      </c>
      <c r="F12" s="428" t="s">
        <v>141</v>
      </c>
      <c r="G12" s="428" t="s">
        <v>142</v>
      </c>
      <c r="H12" s="119" t="s">
        <v>143</v>
      </c>
      <c r="I12" s="428" t="s">
        <v>399</v>
      </c>
      <c r="J12" s="118" t="s">
        <v>41</v>
      </c>
      <c r="K12" s="119" t="s">
        <v>42</v>
      </c>
      <c r="L12" s="119" t="s">
        <v>144</v>
      </c>
      <c r="M12" s="119" t="s">
        <v>145</v>
      </c>
      <c r="N12" s="119" t="s">
        <v>146</v>
      </c>
      <c r="S12" s="123" t="s">
        <v>36</v>
      </c>
      <c r="T12" s="99" t="s">
        <v>212</v>
      </c>
    </row>
    <row r="13" spans="2:22" s="99" customFormat="1" ht="16.5" thickBot="1" x14ac:dyDescent="0.3">
      <c r="B13" s="441"/>
      <c r="C13" s="429"/>
      <c r="D13" s="429"/>
      <c r="E13" s="429"/>
      <c r="F13" s="429"/>
      <c r="G13" s="429"/>
      <c r="H13" s="120" t="s">
        <v>147</v>
      </c>
      <c r="I13" s="429"/>
      <c r="J13" s="121" t="s">
        <v>148</v>
      </c>
      <c r="K13" s="120" t="s">
        <v>149</v>
      </c>
      <c r="L13" s="120" t="s">
        <v>150</v>
      </c>
      <c r="M13" s="120" t="s">
        <v>151</v>
      </c>
      <c r="N13" s="120" t="s">
        <v>152</v>
      </c>
      <c r="Q13" s="102"/>
      <c r="R13" s="122"/>
      <c r="S13" s="136" t="s">
        <v>37</v>
      </c>
    </row>
    <row r="14" spans="2:22" ht="48" customHeight="1" x14ac:dyDescent="0.25">
      <c r="B14" s="442" t="s">
        <v>153</v>
      </c>
      <c r="C14" s="124" t="s">
        <v>154</v>
      </c>
      <c r="D14" s="125" t="s">
        <v>1</v>
      </c>
      <c r="E14" s="126" t="s">
        <v>274</v>
      </c>
      <c r="F14" s="127" t="s">
        <v>156</v>
      </c>
      <c r="G14" s="127" t="s">
        <v>157</v>
      </c>
      <c r="H14" s="128">
        <v>0.1</v>
      </c>
      <c r="I14" s="128" t="s">
        <v>400</v>
      </c>
      <c r="J14" s="130">
        <f>HLOOKUP(B10,'Database Corp.'!B2:N3,2,0)</f>
        <v>27923</v>
      </c>
      <c r="K14" s="130">
        <f>HLOOKUP(B10,'Database Corp.'!B2:N4,3,0)</f>
        <v>20299.306898999996</v>
      </c>
      <c r="L14" s="130">
        <f>IF(F14="Maximize",K14-J14,IF(F14="Minimize",J14-K14,K14-J14))</f>
        <v>-7623.6931010000044</v>
      </c>
      <c r="M14" s="131">
        <f t="shared" ref="M14:M50" si="0">IFERROR(IF(AND(F14="Maximize",G14="Unlock"),IF(((K14-J14)/ABS(J14))+1&lt;0,0,((K14-J14)/ABS(J14))+1),IF(AND(F14="Maximize",G14="Lock"),IF(((K14-J14)/ABS(J14))+1&lt;0,0,IF(((K14-J14)/ABS(J14))+1&gt;$N$4,$N$4,((K14-J14)/ABS(J14))+1)),IF(AND(F14="Minimize",G14="Unlock"),IF(((J14-K14)/ABS(J14))+1&lt;0,0,((J14-K14)/ABS(J14))+1),IF(AND(F14="Minimize",G14="Lock"),IF(((J14-K14)/ABS(J14))+1&lt;0,0,IF(((J14-K14)/ABS(J14))+1&gt;$N$4,$N$4,((J14-K14)/ABS(J14))+1)),IF(F14="Min to Zero",IF(K14&gt;J14,0,IF(K14&lt;J14,0,100%)),IF(F14="Stabilize to Target",IF(K14-J14=0,100%,IF(ABS(K14-J14)&gt;=ABS(J14),0,ABS(IF(K14&gt;J14,1-((K14-J14)/J14),IF(K14&lt;J14,1-((J14-ABS(K14))/J14),0))))),IF(F14="Stabilize to Zero",IF(AND(K14&lt;=J14,K14&gt;=-J14),ABS(IF(K14&gt;J14,K14-J14,IF(K14&lt;J14,J14-ABS(K14),0)))/ABS(J14),0)))))))),0)</f>
        <v>0.72697442606453444</v>
      </c>
      <c r="N14" s="132">
        <f t="shared" ref="N14:N19" si="1">M14*H14</f>
        <v>7.2697442606453444E-2</v>
      </c>
      <c r="O14" s="133"/>
      <c r="P14" s="134"/>
      <c r="Q14" s="135"/>
      <c r="R14" s="100"/>
      <c r="S14" s="136" t="s">
        <v>38</v>
      </c>
      <c r="T14" s="136"/>
    </row>
    <row r="15" spans="2:22" ht="62.25" customHeight="1" x14ac:dyDescent="0.25">
      <c r="B15" s="443"/>
      <c r="C15" s="444" t="s">
        <v>158</v>
      </c>
      <c r="D15" s="138" t="s">
        <v>2</v>
      </c>
      <c r="E15" s="126" t="s">
        <v>275</v>
      </c>
      <c r="F15" s="127" t="s">
        <v>156</v>
      </c>
      <c r="G15" s="127" t="s">
        <v>157</v>
      </c>
      <c r="H15" s="139">
        <v>0.05</v>
      </c>
      <c r="I15" s="128" t="s">
        <v>400</v>
      </c>
      <c r="J15" s="377">
        <f>HLOOKUP(B10,'Database Corp.'!B11:N12,2,0)</f>
        <v>4925</v>
      </c>
      <c r="K15" s="172">
        <f>HLOOKUP(B10,'Database Corp.'!B11:N13,3,0)</f>
        <v>3532.0899819999941</v>
      </c>
      <c r="L15" s="142">
        <f t="shared" ref="L15" si="2">IF(F15="Maximize",K15-J15,IF(F15="Minimize",J15-K15,K15-J15))</f>
        <v>-1392.9100180000059</v>
      </c>
      <c r="M15" s="131">
        <f t="shared" si="0"/>
        <v>0.71717563086294289</v>
      </c>
      <c r="N15" s="143">
        <f t="shared" si="1"/>
        <v>3.5858781543147145E-2</v>
      </c>
      <c r="O15" s="133"/>
      <c r="P15" s="134"/>
      <c r="Q15" s="135"/>
      <c r="R15" s="100"/>
      <c r="S15" s="136" t="s">
        <v>39</v>
      </c>
      <c r="T15" s="136"/>
    </row>
    <row r="16" spans="2:22" ht="33" customHeight="1" x14ac:dyDescent="0.25">
      <c r="B16" s="443"/>
      <c r="C16" s="445"/>
      <c r="D16" s="125" t="s">
        <v>219</v>
      </c>
      <c r="E16" s="126" t="s">
        <v>159</v>
      </c>
      <c r="F16" s="127" t="s">
        <v>156</v>
      </c>
      <c r="G16" s="127" t="s">
        <v>157</v>
      </c>
      <c r="H16" s="128">
        <v>0.1</v>
      </c>
      <c r="I16" s="128" t="s">
        <v>400</v>
      </c>
      <c r="J16" s="130">
        <f>HLOOKUP(B10,'Database Corp.'!B20:N21,2,0)</f>
        <v>3106</v>
      </c>
      <c r="K16" s="130">
        <f>HLOOKUP(B10,'Database Corp.'!B20:N22,3,0)</f>
        <v>6175.0071279999956</v>
      </c>
      <c r="L16" s="130">
        <f>IF(F16="Maximize",K16-J16,IF(F16="Minimize",J16-K16,K16-J16))</f>
        <v>3069.0071279999956</v>
      </c>
      <c r="M16" s="131">
        <f t="shared" si="0"/>
        <v>1.5</v>
      </c>
      <c r="N16" s="132">
        <f t="shared" si="1"/>
        <v>0.15000000000000002</v>
      </c>
      <c r="O16" s="133"/>
      <c r="P16" s="134"/>
      <c r="Q16" s="135"/>
      <c r="R16" s="100"/>
      <c r="S16" s="136" t="s">
        <v>40</v>
      </c>
      <c r="T16" s="136"/>
    </row>
    <row r="17" spans="2:20" ht="42.75" customHeight="1" x14ac:dyDescent="0.25">
      <c r="B17" s="443"/>
      <c r="C17" s="450" t="s">
        <v>160</v>
      </c>
      <c r="D17" s="138" t="s">
        <v>262</v>
      </c>
      <c r="E17" s="126" t="s">
        <v>274</v>
      </c>
      <c r="F17" s="127" t="s">
        <v>161</v>
      </c>
      <c r="G17" s="127" t="s">
        <v>157</v>
      </c>
      <c r="H17" s="139">
        <v>0.05</v>
      </c>
      <c r="I17" s="139" t="s">
        <v>295</v>
      </c>
      <c r="J17" s="315">
        <f>HLOOKUP(B10,'Database Corp.'!B29:N30,2,0)</f>
        <v>7.4999999999999997E-2</v>
      </c>
      <c r="K17" s="315">
        <f>HLOOKUP(B10,'Database Corp.'!B29:N31,3,0)</f>
        <v>6.1880945751004009E-2</v>
      </c>
      <c r="L17" s="146">
        <f t="shared" ref="L17" si="3">IF(F17="Maximize",K17-J17,IF(F17="Minimize",J17-K17,K17-J17))</f>
        <v>1.3119054248995989E-2</v>
      </c>
      <c r="M17" s="131">
        <f t="shared" si="0"/>
        <v>1.1749207233199466</v>
      </c>
      <c r="N17" s="143">
        <f t="shared" si="1"/>
        <v>5.8746036165997328E-2</v>
      </c>
      <c r="O17" s="133"/>
      <c r="P17" s="134"/>
      <c r="Q17" s="135"/>
      <c r="R17" s="100"/>
      <c r="S17" s="136" t="s">
        <v>95</v>
      </c>
      <c r="T17" s="136"/>
    </row>
    <row r="18" spans="2:20" ht="30" customHeight="1" x14ac:dyDescent="0.25">
      <c r="B18" s="443"/>
      <c r="C18" s="451"/>
      <c r="D18" s="125" t="s">
        <v>220</v>
      </c>
      <c r="E18" s="126" t="s">
        <v>159</v>
      </c>
      <c r="F18" s="127" t="s">
        <v>161</v>
      </c>
      <c r="G18" s="127" t="s">
        <v>157</v>
      </c>
      <c r="H18" s="128">
        <v>0.05</v>
      </c>
      <c r="I18" s="128" t="s">
        <v>295</v>
      </c>
      <c r="J18" s="275">
        <f>HLOOKUP(B10,'Database Corp.'!B37:N38,2,0)</f>
        <v>0.95</v>
      </c>
      <c r="K18" s="275">
        <f>HLOOKUP(B10,'Database Corp.'!B37:N39,3,0)</f>
        <v>1.0283337388872653</v>
      </c>
      <c r="L18" s="275">
        <f>IF(F18="Maximize",K18-J18,IF(F18="Minimize",J18-K18,K18-J18))</f>
        <v>-7.8333738887265358E-2</v>
      </c>
      <c r="M18" s="131">
        <f t="shared" si="0"/>
        <v>0.91754343275024697</v>
      </c>
      <c r="N18" s="132">
        <f t="shared" si="1"/>
        <v>4.587717163751235E-2</v>
      </c>
      <c r="O18" s="133"/>
      <c r="P18" s="134"/>
      <c r="Q18" s="135"/>
      <c r="R18" s="100"/>
      <c r="S18" s="136"/>
      <c r="T18" s="136"/>
    </row>
    <row r="19" spans="2:20" ht="39.75" customHeight="1" x14ac:dyDescent="0.25">
      <c r="B19" s="443"/>
      <c r="C19" s="452"/>
      <c r="D19" s="148" t="s">
        <v>263</v>
      </c>
      <c r="E19" s="279" t="s">
        <v>276</v>
      </c>
      <c r="F19" s="127" t="s">
        <v>161</v>
      </c>
      <c r="G19" s="127" t="s">
        <v>157</v>
      </c>
      <c r="H19" s="149">
        <v>0.04</v>
      </c>
      <c r="I19" s="149" t="s">
        <v>295</v>
      </c>
      <c r="J19" s="394">
        <f>HLOOKUP(B10,'Database Corp.'!B44:N45,2,0)</f>
        <v>1.2E-2</v>
      </c>
      <c r="K19" s="394">
        <f>HLOOKUP(B10,'Database Corp.'!B44:N46,3,0)</f>
        <v>8.9999999999999993E-3</v>
      </c>
      <c r="L19" s="340">
        <f t="shared" ref="L19" si="4">IF(F19="Maximize",K19-J19,IF(F19="Minimize",J19-K19,K19-J19))</f>
        <v>3.0000000000000009E-3</v>
      </c>
      <c r="M19" s="131">
        <f t="shared" si="0"/>
        <v>1.25</v>
      </c>
      <c r="N19" s="154">
        <f t="shared" si="1"/>
        <v>0.05</v>
      </c>
      <c r="O19" s="133"/>
      <c r="P19" s="134"/>
      <c r="Q19" s="135"/>
      <c r="R19" s="100"/>
      <c r="T19" s="136"/>
    </row>
    <row r="20" spans="2:20" x14ac:dyDescent="0.25">
      <c r="B20" s="443"/>
      <c r="C20" s="446" t="s">
        <v>163</v>
      </c>
      <c r="D20" s="446"/>
      <c r="E20" s="446"/>
      <c r="F20" s="446"/>
      <c r="G20" s="446"/>
      <c r="H20" s="155">
        <f>SUM(H14:H19)</f>
        <v>0.38999999999999996</v>
      </c>
      <c r="I20" s="155"/>
      <c r="J20" s="156"/>
      <c r="K20" s="156"/>
      <c r="L20" s="156"/>
      <c r="M20" s="156"/>
      <c r="N20" s="157">
        <f>SUM(N14:N19)</f>
        <v>0.4131794319531103</v>
      </c>
      <c r="Q20" s="134"/>
      <c r="R20" s="135"/>
    </row>
    <row r="21" spans="2:20" ht="40.5" customHeight="1" x14ac:dyDescent="0.25">
      <c r="B21" s="447" t="s">
        <v>243</v>
      </c>
      <c r="C21" s="448" t="s">
        <v>164</v>
      </c>
      <c r="D21" s="125" t="s">
        <v>267</v>
      </c>
      <c r="E21" s="126" t="s">
        <v>277</v>
      </c>
      <c r="F21" s="127" t="s">
        <v>156</v>
      </c>
      <c r="G21" s="127" t="s">
        <v>157</v>
      </c>
      <c r="H21" s="128">
        <v>0.02</v>
      </c>
      <c r="I21" s="128" t="s">
        <v>295</v>
      </c>
      <c r="J21" s="275">
        <v>1</v>
      </c>
      <c r="K21" s="275" t="s">
        <v>335</v>
      </c>
      <c r="L21" s="275" t="e">
        <f t="shared" ref="L21:L27" si="5">IF(F21="Maximize",K21-J21,IF(F21="Minimize",J21-K21,K21-J21))</f>
        <v>#VALUE!</v>
      </c>
      <c r="M21" s="131">
        <f t="shared" si="0"/>
        <v>0</v>
      </c>
      <c r="N21" s="132">
        <f t="shared" ref="N21:N27" si="6">M21*H21</f>
        <v>0</v>
      </c>
    </row>
    <row r="22" spans="2:20" ht="40.5" customHeight="1" x14ac:dyDescent="0.25">
      <c r="B22" s="447"/>
      <c r="C22" s="448"/>
      <c r="D22" s="138" t="s">
        <v>266</v>
      </c>
      <c r="E22" s="126" t="s">
        <v>277</v>
      </c>
      <c r="F22" s="127" t="s">
        <v>156</v>
      </c>
      <c r="G22" s="127" t="s">
        <v>157</v>
      </c>
      <c r="H22" s="139">
        <v>0.02</v>
      </c>
      <c r="I22" s="128" t="s">
        <v>401</v>
      </c>
      <c r="J22" s="161">
        <v>4</v>
      </c>
      <c r="K22" s="162" t="s">
        <v>335</v>
      </c>
      <c r="L22" s="142" t="e">
        <f t="shared" ref="L22" si="7">IF(F22="Maximize",K22-J22,IF(F22="Minimize",J22-K22,K22-J22))</f>
        <v>#VALUE!</v>
      </c>
      <c r="M22" s="131">
        <f t="shared" si="0"/>
        <v>0</v>
      </c>
      <c r="N22" s="143">
        <f t="shared" ref="N22" si="8">M22*H22</f>
        <v>0</v>
      </c>
    </row>
    <row r="23" spans="2:20" ht="58.5" customHeight="1" x14ac:dyDescent="0.25">
      <c r="B23" s="447"/>
      <c r="C23" s="445"/>
      <c r="D23" s="138" t="s">
        <v>8</v>
      </c>
      <c r="E23" s="126" t="s">
        <v>278</v>
      </c>
      <c r="F23" s="127" t="s">
        <v>165</v>
      </c>
      <c r="G23" s="127" t="s">
        <v>157</v>
      </c>
      <c r="H23" s="139">
        <v>0.01</v>
      </c>
      <c r="I23" s="128" t="s">
        <v>402</v>
      </c>
      <c r="J23" s="161">
        <f>HLOOKUP(B10,'Database Corp.'!B52:N53,2,0)</f>
        <v>0</v>
      </c>
      <c r="K23" s="162">
        <v>0</v>
      </c>
      <c r="L23" s="142">
        <f t="shared" si="5"/>
        <v>0</v>
      </c>
      <c r="M23" s="131">
        <f t="shared" si="0"/>
        <v>1</v>
      </c>
      <c r="N23" s="143">
        <f t="shared" si="6"/>
        <v>0.01</v>
      </c>
    </row>
    <row r="24" spans="2:20" ht="40.5" customHeight="1" x14ac:dyDescent="0.25">
      <c r="B24" s="447"/>
      <c r="C24" s="144" t="s">
        <v>166</v>
      </c>
      <c r="D24" s="138" t="s">
        <v>9</v>
      </c>
      <c r="E24" s="126" t="s">
        <v>279</v>
      </c>
      <c r="F24" s="127" t="s">
        <v>156</v>
      </c>
      <c r="G24" s="127" t="s">
        <v>157</v>
      </c>
      <c r="H24" s="139">
        <v>0.02</v>
      </c>
      <c r="I24" s="128">
        <v>0.05</v>
      </c>
      <c r="J24" s="164">
        <v>0.75</v>
      </c>
      <c r="K24" s="163" t="s">
        <v>335</v>
      </c>
      <c r="L24" s="163" t="e">
        <f t="shared" si="5"/>
        <v>#VALUE!</v>
      </c>
      <c r="M24" s="131">
        <f t="shared" si="0"/>
        <v>0</v>
      </c>
      <c r="N24" s="143">
        <f t="shared" si="6"/>
        <v>0</v>
      </c>
    </row>
    <row r="25" spans="2:20" ht="40.5" customHeight="1" x14ac:dyDescent="0.25">
      <c r="B25" s="447"/>
      <c r="C25" s="450" t="s">
        <v>167</v>
      </c>
      <c r="D25" s="148" t="s">
        <v>245</v>
      </c>
      <c r="E25" s="126" t="s">
        <v>280</v>
      </c>
      <c r="F25" s="127" t="s">
        <v>156</v>
      </c>
      <c r="G25" s="127" t="s">
        <v>157</v>
      </c>
      <c r="H25" s="149">
        <v>0.02</v>
      </c>
      <c r="I25" s="128" t="s">
        <v>403</v>
      </c>
      <c r="J25" s="161">
        <v>8</v>
      </c>
      <c r="K25" s="161">
        <f>HLOOKUP(B10,'Database Corp.'!A111:N113,2,0)</f>
        <v>0</v>
      </c>
      <c r="L25" s="301">
        <f t="shared" si="5"/>
        <v>-8</v>
      </c>
      <c r="M25" s="131">
        <f t="shared" si="0"/>
        <v>0</v>
      </c>
      <c r="N25" s="154">
        <f t="shared" si="6"/>
        <v>0</v>
      </c>
    </row>
    <row r="26" spans="2:20" ht="40.5" customHeight="1" x14ac:dyDescent="0.25">
      <c r="B26" s="447"/>
      <c r="C26" s="451"/>
      <c r="D26" s="148" t="s">
        <v>264</v>
      </c>
      <c r="E26" s="126" t="s">
        <v>280</v>
      </c>
      <c r="F26" s="127" t="s">
        <v>156</v>
      </c>
      <c r="G26" s="127" t="s">
        <v>157</v>
      </c>
      <c r="H26" s="149">
        <v>0.02</v>
      </c>
      <c r="I26" s="128" t="s">
        <v>403</v>
      </c>
      <c r="J26" s="275">
        <v>1</v>
      </c>
      <c r="K26" s="163">
        <v>1</v>
      </c>
      <c r="L26" s="165">
        <f t="shared" ref="L26" si="9">IF(F26="Maximize",K26-J26,IF(F26="Minimize",J26-K26,K26-J26))</f>
        <v>0</v>
      </c>
      <c r="M26" s="131">
        <f t="shared" si="0"/>
        <v>1</v>
      </c>
      <c r="N26" s="154">
        <f t="shared" ref="N26" si="10">M26*H26</f>
        <v>0.02</v>
      </c>
    </row>
    <row r="27" spans="2:20" ht="40.5" customHeight="1" x14ac:dyDescent="0.25">
      <c r="B27" s="447"/>
      <c r="C27" s="452"/>
      <c r="D27" s="148" t="s">
        <v>265</v>
      </c>
      <c r="E27" s="126" t="s">
        <v>280</v>
      </c>
      <c r="F27" s="127" t="s">
        <v>156</v>
      </c>
      <c r="G27" s="127" t="s">
        <v>157</v>
      </c>
      <c r="H27" s="149">
        <v>0.02</v>
      </c>
      <c r="I27" s="128" t="s">
        <v>403</v>
      </c>
      <c r="J27" s="161">
        <v>5</v>
      </c>
      <c r="K27" s="161">
        <f>HLOOKUP(B10,'Database Corp.'!B119:N121,2,0)</f>
        <v>0</v>
      </c>
      <c r="L27" s="301">
        <f t="shared" si="5"/>
        <v>-5</v>
      </c>
      <c r="M27" s="131">
        <f t="shared" si="0"/>
        <v>0</v>
      </c>
      <c r="N27" s="154">
        <f t="shared" si="6"/>
        <v>0</v>
      </c>
    </row>
    <row r="28" spans="2:20" x14ac:dyDescent="0.25">
      <c r="B28" s="447"/>
      <c r="C28" s="449" t="s">
        <v>242</v>
      </c>
      <c r="D28" s="449"/>
      <c r="E28" s="449"/>
      <c r="F28" s="449"/>
      <c r="G28" s="449"/>
      <c r="H28" s="167">
        <f>SUM(H21:H27)</f>
        <v>0.13</v>
      </c>
      <c r="I28" s="167"/>
      <c r="J28" s="168"/>
      <c r="K28" s="168"/>
      <c r="L28" s="168"/>
      <c r="M28" s="168"/>
      <c r="N28" s="169">
        <f>SUM(N21:N27)</f>
        <v>0.03</v>
      </c>
    </row>
    <row r="29" spans="2:20" ht="42.75" customHeight="1" x14ac:dyDescent="0.25">
      <c r="B29" s="456" t="s">
        <v>169</v>
      </c>
      <c r="C29" s="448" t="s">
        <v>170</v>
      </c>
      <c r="D29" s="125" t="s">
        <v>11</v>
      </c>
      <c r="E29" s="126" t="s">
        <v>281</v>
      </c>
      <c r="F29" s="127" t="s">
        <v>161</v>
      </c>
      <c r="G29" s="127" t="s">
        <v>157</v>
      </c>
      <c r="H29" s="128">
        <v>0.03</v>
      </c>
      <c r="I29" s="128" t="s">
        <v>295</v>
      </c>
      <c r="J29" s="170">
        <f>HLOOKUP(B10,'DB Dir Prod'!B66:N69,4,0)</f>
        <v>2E-3</v>
      </c>
      <c r="K29" s="336">
        <f>HLOOKUP(B10,'Database Corp.'!B126:N128,3,0)</f>
        <v>3.5999999999999999E-3</v>
      </c>
      <c r="L29" s="159">
        <f t="shared" ref="L29:L50" si="11">IF(F29="Maximize",K29-J29,IF(F29="Minimize",J29-K29,K29-J29))</f>
        <v>-1.5999999999999999E-3</v>
      </c>
      <c r="M29" s="131">
        <f t="shared" si="0"/>
        <v>0.20000000000000007</v>
      </c>
      <c r="N29" s="132">
        <f t="shared" ref="N29:N40" si="12">M29*H29</f>
        <v>6.0000000000000019E-3</v>
      </c>
    </row>
    <row r="30" spans="2:20" ht="42.75" customHeight="1" x14ac:dyDescent="0.25">
      <c r="B30" s="456"/>
      <c r="C30" s="445"/>
      <c r="D30" s="138" t="s">
        <v>12</v>
      </c>
      <c r="E30" s="126" t="s">
        <v>282</v>
      </c>
      <c r="F30" s="127" t="s">
        <v>165</v>
      </c>
      <c r="G30" s="127" t="s">
        <v>157</v>
      </c>
      <c r="H30" s="139">
        <v>0.03</v>
      </c>
      <c r="I30" s="128" t="s">
        <v>404</v>
      </c>
      <c r="J30" s="158">
        <f>HLOOKUP(B10,'Database Corp.'!B61:N62,2,0)</f>
        <v>0</v>
      </c>
      <c r="K30" s="172">
        <f>HLOOKUP(B10,'Database Corp.'!B61:N63,3,0)</f>
        <v>12</v>
      </c>
      <c r="L30" s="142">
        <f t="shared" si="11"/>
        <v>12</v>
      </c>
      <c r="M30" s="131">
        <f t="shared" si="0"/>
        <v>0</v>
      </c>
      <c r="N30" s="143">
        <f t="shared" si="12"/>
        <v>0</v>
      </c>
    </row>
    <row r="31" spans="2:20" ht="42.75" customHeight="1" x14ac:dyDescent="0.25">
      <c r="B31" s="456"/>
      <c r="C31" s="444" t="s">
        <v>171</v>
      </c>
      <c r="D31" s="138" t="s">
        <v>13</v>
      </c>
      <c r="E31" s="126" t="s">
        <v>283</v>
      </c>
      <c r="F31" s="127" t="s">
        <v>156</v>
      </c>
      <c r="G31" s="127" t="s">
        <v>157</v>
      </c>
      <c r="H31" s="139">
        <v>0.06</v>
      </c>
      <c r="I31" s="139" t="s">
        <v>405</v>
      </c>
      <c r="J31" s="172">
        <f>HLOOKUP(B10,'DB Dir Prod'!B76:N77,2,0)</f>
        <v>3000</v>
      </c>
      <c r="K31" s="172">
        <f>HLOOKUP(B10,'Database Corp.'!B133:N135,3,0)</f>
        <v>2733</v>
      </c>
      <c r="L31" s="337">
        <f t="shared" si="11"/>
        <v>-267</v>
      </c>
      <c r="M31" s="131">
        <f t="shared" si="0"/>
        <v>0.91100000000000003</v>
      </c>
      <c r="N31" s="143">
        <f t="shared" si="12"/>
        <v>5.466E-2</v>
      </c>
    </row>
    <row r="32" spans="2:20" ht="42.75" customHeight="1" x14ac:dyDescent="0.25">
      <c r="B32" s="456"/>
      <c r="C32" s="448"/>
      <c r="D32" s="138" t="s">
        <v>14</v>
      </c>
      <c r="E32" s="126" t="s">
        <v>260</v>
      </c>
      <c r="F32" s="127" t="s">
        <v>156</v>
      </c>
      <c r="G32" s="127" t="s">
        <v>157</v>
      </c>
      <c r="H32" s="139">
        <v>0.06</v>
      </c>
      <c r="I32" s="128" t="s">
        <v>295</v>
      </c>
      <c r="J32" s="159">
        <v>0.85</v>
      </c>
      <c r="K32" s="286">
        <f>HLOOKUP(B10,'Database Corp.'!B187:N192,6,0)</f>
        <v>0.85788160000000002</v>
      </c>
      <c r="L32" s="163">
        <f t="shared" ref="L32" si="13">IF(F32="Maximize",K32-J32,IF(F32="Minimize",J32-K32,K32-J32))</f>
        <v>7.8816000000000441E-3</v>
      </c>
      <c r="M32" s="131">
        <f t="shared" si="0"/>
        <v>1.0092724705882354</v>
      </c>
      <c r="N32" s="143">
        <f t="shared" ref="N32" si="14">M32*H32</f>
        <v>6.0556348235294127E-2</v>
      </c>
    </row>
    <row r="33" spans="1:20" ht="42.75" customHeight="1" x14ac:dyDescent="0.25">
      <c r="B33" s="456"/>
      <c r="C33" s="445"/>
      <c r="D33" s="138" t="s">
        <v>222</v>
      </c>
      <c r="E33" s="126" t="s">
        <v>159</v>
      </c>
      <c r="F33" s="127" t="s">
        <v>156</v>
      </c>
      <c r="G33" s="127" t="s">
        <v>157</v>
      </c>
      <c r="H33" s="139">
        <v>0.03</v>
      </c>
      <c r="I33" s="128" t="s">
        <v>295</v>
      </c>
      <c r="J33" s="159">
        <v>0.98</v>
      </c>
      <c r="K33" s="286">
        <f>HLOOKUP(B10,'Database Corp.'!B140:N142,3,0)</f>
        <v>0.97719999999999996</v>
      </c>
      <c r="L33" s="163">
        <f t="shared" si="11"/>
        <v>-2.8000000000000247E-3</v>
      </c>
      <c r="M33" s="131">
        <f t="shared" si="0"/>
        <v>0.99714285714285711</v>
      </c>
      <c r="N33" s="143">
        <f t="shared" si="12"/>
        <v>2.9914285714285713E-2</v>
      </c>
    </row>
    <row r="34" spans="1:20" ht="42.75" customHeight="1" x14ac:dyDescent="0.25">
      <c r="B34" s="456"/>
      <c r="C34" s="444" t="s">
        <v>268</v>
      </c>
      <c r="D34" s="138" t="s">
        <v>406</v>
      </c>
      <c r="E34" s="126" t="s">
        <v>159</v>
      </c>
      <c r="F34" s="127" t="s">
        <v>161</v>
      </c>
      <c r="G34" s="127" t="s">
        <v>157</v>
      </c>
      <c r="H34" s="139">
        <v>0.01</v>
      </c>
      <c r="I34" s="128" t="s">
        <v>407</v>
      </c>
      <c r="J34" s="173">
        <v>1.2E-2</v>
      </c>
      <c r="K34" s="145" t="s">
        <v>335</v>
      </c>
      <c r="L34" s="341" t="e">
        <f t="shared" si="11"/>
        <v>#VALUE!</v>
      </c>
      <c r="M34" s="131">
        <f t="shared" si="0"/>
        <v>0</v>
      </c>
      <c r="N34" s="143">
        <f t="shared" si="12"/>
        <v>0</v>
      </c>
    </row>
    <row r="35" spans="1:20" ht="42.75" customHeight="1" x14ac:dyDescent="0.25">
      <c r="B35" s="456"/>
      <c r="C35" s="448"/>
      <c r="D35" s="138" t="s">
        <v>408</v>
      </c>
      <c r="E35" s="126" t="s">
        <v>159</v>
      </c>
      <c r="F35" s="127" t="s">
        <v>161</v>
      </c>
      <c r="G35" s="127" t="s">
        <v>157</v>
      </c>
      <c r="H35" s="139">
        <v>0.01</v>
      </c>
      <c r="I35" s="128" t="s">
        <v>409</v>
      </c>
      <c r="J35" s="173">
        <v>3.3000000000000002E-2</v>
      </c>
      <c r="K35" s="145" t="s">
        <v>335</v>
      </c>
      <c r="L35" s="185" t="e">
        <f t="shared" si="11"/>
        <v>#VALUE!</v>
      </c>
      <c r="M35" s="131">
        <f t="shared" si="0"/>
        <v>0</v>
      </c>
      <c r="N35" s="143">
        <f t="shared" si="12"/>
        <v>0</v>
      </c>
    </row>
    <row r="36" spans="1:20" ht="42.75" customHeight="1" x14ac:dyDescent="0.25">
      <c r="B36" s="456"/>
      <c r="C36" s="448"/>
      <c r="D36" s="138" t="s">
        <v>410</v>
      </c>
      <c r="E36" s="126" t="s">
        <v>159</v>
      </c>
      <c r="F36" s="127" t="s">
        <v>161</v>
      </c>
      <c r="G36" s="127" t="s">
        <v>157</v>
      </c>
      <c r="H36" s="139">
        <v>0.01</v>
      </c>
      <c r="I36" s="128" t="s">
        <v>411</v>
      </c>
      <c r="J36" s="173">
        <v>0.06</v>
      </c>
      <c r="K36" s="145" t="s">
        <v>335</v>
      </c>
      <c r="L36" s="185" t="e">
        <f t="shared" si="11"/>
        <v>#VALUE!</v>
      </c>
      <c r="M36" s="131">
        <f t="shared" si="0"/>
        <v>0</v>
      </c>
      <c r="N36" s="143">
        <f t="shared" si="12"/>
        <v>0</v>
      </c>
    </row>
    <row r="37" spans="1:20" ht="42.75" customHeight="1" x14ac:dyDescent="0.25">
      <c r="A37" s="98" t="s">
        <v>172</v>
      </c>
      <c r="B37" s="456"/>
      <c r="C37" s="448"/>
      <c r="D37" s="148" t="s">
        <v>412</v>
      </c>
      <c r="E37" s="126" t="s">
        <v>159</v>
      </c>
      <c r="F37" s="127" t="s">
        <v>161</v>
      </c>
      <c r="G37" s="127" t="s">
        <v>157</v>
      </c>
      <c r="H37" s="149">
        <v>0.01</v>
      </c>
      <c r="I37" s="128" t="s">
        <v>413</v>
      </c>
      <c r="J37" s="176">
        <v>5.0000000000000001E-4</v>
      </c>
      <c r="K37" s="145" t="s">
        <v>335</v>
      </c>
      <c r="L37" s="294" t="e">
        <f t="shared" ref="L37" si="15">IF(F37="Maximize",K37-J37,IF(F37="Minimize",J37-K37,K37-J37))</f>
        <v>#VALUE!</v>
      </c>
      <c r="M37" s="131">
        <f t="shared" si="0"/>
        <v>0</v>
      </c>
      <c r="N37" s="154">
        <f t="shared" ref="N37" si="16">M37*H37</f>
        <v>0</v>
      </c>
    </row>
    <row r="38" spans="1:20" ht="42.75" customHeight="1" x14ac:dyDescent="0.25">
      <c r="A38" s="98" t="s">
        <v>172</v>
      </c>
      <c r="B38" s="456"/>
      <c r="C38" s="445"/>
      <c r="D38" s="148" t="s">
        <v>269</v>
      </c>
      <c r="E38" s="126" t="s">
        <v>284</v>
      </c>
      <c r="F38" s="127" t="s">
        <v>156</v>
      </c>
      <c r="G38" s="127" t="s">
        <v>157</v>
      </c>
      <c r="H38" s="149">
        <v>0.01</v>
      </c>
      <c r="I38" s="128" t="s">
        <v>295</v>
      </c>
      <c r="J38" s="275">
        <v>1</v>
      </c>
      <c r="K38" s="145" t="s">
        <v>335</v>
      </c>
      <c r="L38" s="294" t="e">
        <f t="shared" si="11"/>
        <v>#VALUE!</v>
      </c>
      <c r="M38" s="131">
        <f t="shared" si="0"/>
        <v>0</v>
      </c>
      <c r="N38" s="154">
        <f t="shared" si="12"/>
        <v>0</v>
      </c>
    </row>
    <row r="39" spans="1:20" ht="42.75" customHeight="1" x14ac:dyDescent="0.25">
      <c r="A39" s="98" t="s">
        <v>172</v>
      </c>
      <c r="B39" s="456"/>
      <c r="C39" s="450" t="s">
        <v>173</v>
      </c>
      <c r="D39" s="148" t="s">
        <v>270</v>
      </c>
      <c r="E39" s="126" t="s">
        <v>285</v>
      </c>
      <c r="F39" s="127" t="s">
        <v>211</v>
      </c>
      <c r="G39" s="127" t="s">
        <v>157</v>
      </c>
      <c r="H39" s="149">
        <v>0.02</v>
      </c>
      <c r="I39" s="128" t="s">
        <v>400</v>
      </c>
      <c r="J39" s="158">
        <v>70</v>
      </c>
      <c r="K39" s="321">
        <f>HLOOKUP(B10,'Database Corp.'!B147:N149,3,0)</f>
        <v>62.971453394999997</v>
      </c>
      <c r="L39" s="294">
        <f t="shared" ref="L39" si="17">IF(F39="Maximize",K39-J39,IF(F39="Minimize",J39-K39,K39-J39))</f>
        <v>-7.0285466050000025</v>
      </c>
      <c r="M39" s="131">
        <f t="shared" si="0"/>
        <v>0.89959219135714286</v>
      </c>
      <c r="N39" s="154">
        <f t="shared" ref="N39" si="18">M39*H39</f>
        <v>1.7991843827142858E-2</v>
      </c>
    </row>
    <row r="40" spans="1:20" ht="42.75" customHeight="1" x14ac:dyDescent="0.25">
      <c r="A40" s="98" t="s">
        <v>172</v>
      </c>
      <c r="B40" s="456"/>
      <c r="C40" s="452"/>
      <c r="D40" s="148" t="s">
        <v>271</v>
      </c>
      <c r="E40" s="126" t="s">
        <v>285</v>
      </c>
      <c r="F40" s="127" t="s">
        <v>165</v>
      </c>
      <c r="G40" s="127" t="s">
        <v>157</v>
      </c>
      <c r="H40" s="149">
        <v>0.02</v>
      </c>
      <c r="I40" s="128" t="s">
        <v>400</v>
      </c>
      <c r="J40" s="158">
        <v>0</v>
      </c>
      <c r="K40" s="321">
        <f>HLOOKUP(B10,'Database Corp.'!B155:N157,3,0)</f>
        <v>273.74698999999998</v>
      </c>
      <c r="L40" s="294">
        <f t="shared" si="11"/>
        <v>273.74698999999998</v>
      </c>
      <c r="M40" s="131">
        <f t="shared" si="0"/>
        <v>0</v>
      </c>
      <c r="N40" s="154">
        <f t="shared" si="12"/>
        <v>0</v>
      </c>
    </row>
    <row r="41" spans="1:20" x14ac:dyDescent="0.25">
      <c r="B41" s="456"/>
      <c r="C41" s="457" t="s">
        <v>168</v>
      </c>
      <c r="D41" s="457"/>
      <c r="E41" s="457"/>
      <c r="F41" s="457"/>
      <c r="G41" s="457"/>
      <c r="H41" s="179">
        <f>SUM(H29:H40)</f>
        <v>0.30000000000000004</v>
      </c>
      <c r="I41" s="179"/>
      <c r="J41" s="180"/>
      <c r="K41" s="180"/>
      <c r="L41" s="180"/>
      <c r="M41" s="180"/>
      <c r="N41" s="181">
        <f>SUM(N29:N40)</f>
        <v>0.16912247777672271</v>
      </c>
    </row>
    <row r="42" spans="1:20" s="134" customFormat="1" ht="45" customHeight="1" x14ac:dyDescent="0.25">
      <c r="B42" s="453" t="s">
        <v>174</v>
      </c>
      <c r="C42" s="448" t="s">
        <v>175</v>
      </c>
      <c r="D42" s="124" t="s">
        <v>20</v>
      </c>
      <c r="E42" s="182" t="s">
        <v>159</v>
      </c>
      <c r="F42" s="127" t="s">
        <v>156</v>
      </c>
      <c r="G42" s="127" t="s">
        <v>157</v>
      </c>
      <c r="H42" s="128">
        <v>0.02</v>
      </c>
      <c r="I42" s="128" t="s">
        <v>414</v>
      </c>
      <c r="J42" s="158">
        <v>16</v>
      </c>
      <c r="K42" s="158">
        <f>HLOOKUP(B10,'Database Corp.'!B95:N101,7,0)</f>
        <v>32</v>
      </c>
      <c r="L42" s="291">
        <f t="shared" ref="L42:L46" si="19">IF(F42="Maximize",K42-J42,IF(F42="Minimize",J42-K42,K42-J42))</f>
        <v>16</v>
      </c>
      <c r="M42" s="131">
        <f t="shared" si="0"/>
        <v>1.5</v>
      </c>
      <c r="N42" s="132">
        <f>M42*H42</f>
        <v>0.03</v>
      </c>
      <c r="R42" s="99"/>
      <c r="S42" s="100"/>
      <c r="T42" s="99"/>
    </row>
    <row r="43" spans="1:20" s="134" customFormat="1" ht="45" customHeight="1" x14ac:dyDescent="0.25">
      <c r="B43" s="453"/>
      <c r="C43" s="448"/>
      <c r="D43" s="137" t="s">
        <v>21</v>
      </c>
      <c r="E43" s="182" t="s">
        <v>159</v>
      </c>
      <c r="F43" s="127" t="s">
        <v>156</v>
      </c>
      <c r="G43" s="127" t="s">
        <v>157</v>
      </c>
      <c r="H43" s="149">
        <v>0.02</v>
      </c>
      <c r="I43" s="149" t="s">
        <v>295</v>
      </c>
      <c r="J43" s="163">
        <f>HLOOKUP(B10,'Database Corp.'!B70:N71,2,0)</f>
        <v>0.75</v>
      </c>
      <c r="K43" s="183">
        <f>HLOOKUP(B10,'Database Corp.'!B70:N72,3,0)</f>
        <v>0.75</v>
      </c>
      <c r="L43" s="184">
        <f t="shared" si="19"/>
        <v>0</v>
      </c>
      <c r="M43" s="131">
        <f t="shared" si="0"/>
        <v>1</v>
      </c>
      <c r="N43" s="143">
        <f t="shared" ref="N43:N44" si="20">M43*H43</f>
        <v>0.02</v>
      </c>
      <c r="R43" s="99"/>
      <c r="S43" s="100"/>
      <c r="T43" s="99"/>
    </row>
    <row r="44" spans="1:20" s="134" customFormat="1" ht="45" customHeight="1" x14ac:dyDescent="0.25">
      <c r="B44" s="453"/>
      <c r="C44" s="448"/>
      <c r="D44" s="137" t="s">
        <v>250</v>
      </c>
      <c r="E44" s="182" t="s">
        <v>159</v>
      </c>
      <c r="F44" s="127" t="s">
        <v>165</v>
      </c>
      <c r="G44" s="127" t="s">
        <v>157</v>
      </c>
      <c r="H44" s="149">
        <v>0.02</v>
      </c>
      <c r="I44" s="149" t="s">
        <v>415</v>
      </c>
      <c r="J44" s="162">
        <f>HLOOKUP(B10,'Database Corp.'!B78:N79,2,0)</f>
        <v>0</v>
      </c>
      <c r="K44" s="186">
        <f>HLOOKUP(B10,'Database Corp.'!B78:N80,3,0)</f>
        <v>0</v>
      </c>
      <c r="L44" s="185">
        <f t="shared" si="19"/>
        <v>0</v>
      </c>
      <c r="M44" s="131">
        <f t="shared" si="0"/>
        <v>1</v>
      </c>
      <c r="N44" s="143">
        <f t="shared" si="20"/>
        <v>0.02</v>
      </c>
      <c r="R44" s="99"/>
      <c r="S44" s="100"/>
      <c r="T44" s="99"/>
    </row>
    <row r="45" spans="1:20" s="134" customFormat="1" ht="45" customHeight="1" x14ac:dyDescent="0.25">
      <c r="B45" s="453"/>
      <c r="C45" s="448"/>
      <c r="D45" s="137" t="s">
        <v>225</v>
      </c>
      <c r="E45" s="182" t="s">
        <v>159</v>
      </c>
      <c r="F45" s="127" t="s">
        <v>156</v>
      </c>
      <c r="G45" s="127" t="s">
        <v>157</v>
      </c>
      <c r="H45" s="149">
        <v>0.02</v>
      </c>
      <c r="I45" s="149" t="s">
        <v>295</v>
      </c>
      <c r="J45" s="163">
        <v>1</v>
      </c>
      <c r="K45" s="183">
        <f>HLOOKUP(B10,'Database Corp.'!B161:N163,3,0)</f>
        <v>0.6</v>
      </c>
      <c r="L45" s="184">
        <f t="shared" ref="L45" si="21">IF(F45="Maximize",K45-J45,IF(F45="Minimize",J45-K45,K45-J45))</f>
        <v>-0.4</v>
      </c>
      <c r="M45" s="131">
        <f t="shared" si="0"/>
        <v>0.6</v>
      </c>
      <c r="N45" s="154">
        <f>M45*H45</f>
        <v>1.2E-2</v>
      </c>
      <c r="R45" s="99"/>
      <c r="S45" s="100"/>
      <c r="T45" s="99"/>
    </row>
    <row r="46" spans="1:20" s="134" customFormat="1" ht="45" customHeight="1" x14ac:dyDescent="0.25">
      <c r="B46" s="453"/>
      <c r="C46" s="445"/>
      <c r="D46" s="137" t="s">
        <v>226</v>
      </c>
      <c r="E46" s="182" t="s">
        <v>159</v>
      </c>
      <c r="F46" s="127" t="s">
        <v>156</v>
      </c>
      <c r="G46" s="127" t="s">
        <v>157</v>
      </c>
      <c r="H46" s="149">
        <v>0.02</v>
      </c>
      <c r="I46" s="149" t="s">
        <v>416</v>
      </c>
      <c r="J46" s="163">
        <v>1</v>
      </c>
      <c r="K46" s="183">
        <f>HLOOKUP(B10,'Database Corp.'!B167:N170,4,0)</f>
        <v>1</v>
      </c>
      <c r="L46" s="184">
        <f t="shared" si="19"/>
        <v>0</v>
      </c>
      <c r="M46" s="131">
        <f t="shared" si="0"/>
        <v>1</v>
      </c>
      <c r="N46" s="154">
        <f>M46*H46</f>
        <v>0.02</v>
      </c>
      <c r="R46" s="99"/>
      <c r="S46" s="100"/>
      <c r="T46" s="99"/>
    </row>
    <row r="47" spans="1:20" s="134" customFormat="1" ht="45" customHeight="1" x14ac:dyDescent="0.25">
      <c r="B47" s="453"/>
      <c r="C47" s="444" t="s">
        <v>176</v>
      </c>
      <c r="D47" s="148" t="s">
        <v>272</v>
      </c>
      <c r="E47" s="182" t="s">
        <v>159</v>
      </c>
      <c r="F47" s="127" t="s">
        <v>156</v>
      </c>
      <c r="G47" s="127" t="s">
        <v>157</v>
      </c>
      <c r="H47" s="149">
        <v>0.02</v>
      </c>
      <c r="I47" s="395" t="s">
        <v>417</v>
      </c>
      <c r="J47" s="163">
        <v>1</v>
      </c>
      <c r="K47" s="183">
        <f>HLOOKUP(B10,'Database Corp.'!A173:N183,11,0)</f>
        <v>2.5</v>
      </c>
      <c r="L47" s="184">
        <f t="shared" si="11"/>
        <v>1.5</v>
      </c>
      <c r="M47" s="131">
        <f t="shared" si="0"/>
        <v>1.5</v>
      </c>
      <c r="N47" s="132">
        <f>M47*H47</f>
        <v>0.03</v>
      </c>
      <c r="R47" s="99"/>
      <c r="S47" s="100"/>
      <c r="T47" s="99"/>
    </row>
    <row r="48" spans="1:20" s="134" customFormat="1" ht="45" customHeight="1" x14ac:dyDescent="0.25">
      <c r="B48" s="453"/>
      <c r="C48" s="445"/>
      <c r="D48" s="148" t="s">
        <v>273</v>
      </c>
      <c r="E48" s="182" t="s">
        <v>159</v>
      </c>
      <c r="F48" s="127" t="s">
        <v>165</v>
      </c>
      <c r="G48" s="127" t="s">
        <v>157</v>
      </c>
      <c r="H48" s="149">
        <v>0.02</v>
      </c>
      <c r="I48" s="149" t="s">
        <v>416</v>
      </c>
      <c r="J48" s="142">
        <f>HLOOKUP(B10,'Database Corp.'!B87:N88,2,0)</f>
        <v>0</v>
      </c>
      <c r="K48" s="294">
        <f>HLOOKUP(B10,'Database Corp.'!B87:N89,3,0)</f>
        <v>0</v>
      </c>
      <c r="L48" s="185">
        <f t="shared" si="11"/>
        <v>0</v>
      </c>
      <c r="M48" s="131">
        <f t="shared" si="0"/>
        <v>1</v>
      </c>
      <c r="N48" s="143">
        <f t="shared" ref="N48:N49" si="22">M48*H48</f>
        <v>0.02</v>
      </c>
      <c r="R48" s="99"/>
      <c r="S48" s="100"/>
      <c r="T48" s="99"/>
    </row>
    <row r="49" spans="2:21" s="134" customFormat="1" ht="45" customHeight="1" x14ac:dyDescent="0.25">
      <c r="B49" s="453"/>
      <c r="C49" s="444" t="s">
        <v>177</v>
      </c>
      <c r="D49" s="148" t="s">
        <v>229</v>
      </c>
      <c r="E49" s="182" t="s">
        <v>159</v>
      </c>
      <c r="F49" s="127" t="s">
        <v>156</v>
      </c>
      <c r="G49" s="127" t="s">
        <v>157</v>
      </c>
      <c r="H49" s="149">
        <v>0.02</v>
      </c>
      <c r="I49" s="149" t="s">
        <v>295</v>
      </c>
      <c r="J49" s="163">
        <v>1</v>
      </c>
      <c r="K49" s="183">
        <f>HLOOKUP(B10,'Database Corp.'!A104:N107,4,0)</f>
        <v>4.07</v>
      </c>
      <c r="L49" s="185">
        <f t="shared" si="11"/>
        <v>3.0700000000000003</v>
      </c>
      <c r="M49" s="131">
        <f t="shared" si="0"/>
        <v>1.5</v>
      </c>
      <c r="N49" s="143">
        <f t="shared" si="22"/>
        <v>0.03</v>
      </c>
      <c r="R49" s="99"/>
      <c r="S49" s="100"/>
      <c r="T49" s="99"/>
    </row>
    <row r="50" spans="2:21" s="134" customFormat="1" ht="45" customHeight="1" x14ac:dyDescent="0.25">
      <c r="B50" s="453"/>
      <c r="C50" s="448"/>
      <c r="D50" s="137" t="s">
        <v>253</v>
      </c>
      <c r="E50" s="182" t="s">
        <v>260</v>
      </c>
      <c r="F50" s="127" t="s">
        <v>156</v>
      </c>
      <c r="G50" s="127" t="s">
        <v>157</v>
      </c>
      <c r="H50" s="149">
        <v>0.02</v>
      </c>
      <c r="I50" s="149" t="s">
        <v>295</v>
      </c>
      <c r="J50" s="165">
        <f>HLOOKUP(B10,'DB Dir Prod'!B111:N114,4,0)</f>
        <v>0.7</v>
      </c>
      <c r="K50" s="183">
        <f>HLOOKUP(B10,'Database Corp.'!B197:N199,3,0)</f>
        <v>0.56000000000000005</v>
      </c>
      <c r="L50" s="342">
        <f t="shared" si="11"/>
        <v>-0.1399999999999999</v>
      </c>
      <c r="M50" s="131">
        <f t="shared" si="0"/>
        <v>0.80000000000000016</v>
      </c>
      <c r="N50" s="154">
        <f>M50*H50</f>
        <v>1.6000000000000004E-2</v>
      </c>
      <c r="R50" s="99"/>
      <c r="S50" s="100"/>
      <c r="T50" s="99"/>
    </row>
    <row r="51" spans="2:21" ht="16.5" thickBot="1" x14ac:dyDescent="0.3">
      <c r="B51" s="454"/>
      <c r="C51" s="455" t="s">
        <v>178</v>
      </c>
      <c r="D51" s="455"/>
      <c r="E51" s="455"/>
      <c r="F51" s="455"/>
      <c r="G51" s="455"/>
      <c r="H51" s="188">
        <f>SUM(H42:H50)</f>
        <v>0.18</v>
      </c>
      <c r="I51" s="188"/>
      <c r="J51" s="189"/>
      <c r="K51" s="189"/>
      <c r="L51" s="189"/>
      <c r="M51" s="189"/>
      <c r="N51" s="190">
        <f>SUM(N42:N50)</f>
        <v>0.19800000000000001</v>
      </c>
    </row>
    <row r="52" spans="2:21" s="191" customFormat="1" ht="16.5" thickBot="1" x14ac:dyDescent="0.3">
      <c r="B52" s="192"/>
      <c r="C52" s="458" t="s">
        <v>179</v>
      </c>
      <c r="D52" s="458"/>
      <c r="E52" s="458"/>
      <c r="F52" s="458"/>
      <c r="G52" s="458"/>
      <c r="H52" s="193">
        <f>SUM(H51,H41,H20,H28)</f>
        <v>1</v>
      </c>
      <c r="I52" s="193"/>
      <c r="J52" s="194"/>
      <c r="K52" s="459" t="s">
        <v>180</v>
      </c>
      <c r="L52" s="460"/>
      <c r="M52" s="461"/>
      <c r="N52" s="195">
        <f>SUM(N14:N19,N29:N40,N42:N50,N21:N27)</f>
        <v>0.81030190972983307</v>
      </c>
      <c r="R52" s="196"/>
      <c r="S52" s="100"/>
      <c r="T52" s="196"/>
    </row>
    <row r="53" spans="2:21" s="197" customFormat="1" ht="16.5" thickBot="1" x14ac:dyDescent="0.3">
      <c r="B53" s="198"/>
      <c r="C53" s="198"/>
      <c r="D53" s="198"/>
      <c r="E53" s="198"/>
      <c r="F53" s="199"/>
      <c r="G53" s="199"/>
      <c r="H53" s="200"/>
      <c r="I53" s="200"/>
      <c r="J53" s="201"/>
      <c r="K53" s="459" t="s">
        <v>181</v>
      </c>
      <c r="L53" s="460"/>
      <c r="M53" s="460"/>
      <c r="N53" s="202" t="str">
        <f>IF(AND(H52&gt;100%,H52,100%),"Error",IF(N52&gt;=$N$4,"HP",IF(AND(N52&lt;$N$5,N52&gt;=$M$5),"P",IF(AND(N52&lt;$N$6,N52&gt;=$M$6),"T",IF(AND(N52&lt;$N$7,N52&gt;=$M$7),"C",IF(N52&lt;$N$8,"U"))))))</f>
        <v>C</v>
      </c>
      <c r="R53" s="196"/>
      <c r="S53" s="100"/>
      <c r="T53" s="196"/>
    </row>
    <row r="55" spans="2:21" ht="16.5" thickBot="1" x14ac:dyDescent="0.3"/>
    <row r="56" spans="2:21" ht="32.25" thickBot="1" x14ac:dyDescent="0.3">
      <c r="B56" s="203" t="s">
        <v>137</v>
      </c>
      <c r="C56" s="204" t="s">
        <v>138</v>
      </c>
      <c r="D56" s="204" t="s">
        <v>139</v>
      </c>
      <c r="E56" s="205" t="s">
        <v>140</v>
      </c>
      <c r="F56" s="205" t="s">
        <v>141</v>
      </c>
      <c r="G56" s="205" t="s">
        <v>142</v>
      </c>
      <c r="H56" s="206" t="s">
        <v>182</v>
      </c>
      <c r="I56" s="207"/>
      <c r="J56" s="207" t="s">
        <v>183</v>
      </c>
      <c r="K56" s="206" t="s">
        <v>184</v>
      </c>
      <c r="L56" s="206" t="s">
        <v>144</v>
      </c>
      <c r="M56" s="206" t="s">
        <v>185</v>
      </c>
      <c r="N56" s="206" t="s">
        <v>186</v>
      </c>
      <c r="R56" s="98"/>
      <c r="U56" s="99"/>
    </row>
    <row r="57" spans="2:21" ht="16.5" thickBot="1" x14ac:dyDescent="0.3">
      <c r="B57" s="462" t="s">
        <v>187</v>
      </c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4"/>
      <c r="R57" s="98"/>
      <c r="U57" s="99"/>
    </row>
    <row r="58" spans="2:21" s="134" customFormat="1" ht="31.5" x14ac:dyDescent="0.25">
      <c r="B58" s="345" t="s">
        <v>360</v>
      </c>
      <c r="C58" s="346" t="s">
        <v>154</v>
      </c>
      <c r="D58" s="347" t="s">
        <v>361</v>
      </c>
      <c r="E58" s="344" t="s">
        <v>274</v>
      </c>
      <c r="F58" s="350" t="s">
        <v>156</v>
      </c>
      <c r="G58" s="354" t="s">
        <v>157</v>
      </c>
      <c r="H58" s="353">
        <v>0.05</v>
      </c>
      <c r="I58" s="353"/>
      <c r="J58" s="348">
        <v>600</v>
      </c>
      <c r="K58" s="352">
        <v>450</v>
      </c>
      <c r="L58" s="355">
        <f t="shared" ref="L58" si="23">IF(F58="Maximize",K58-J58,IF(F58="Minimize",J58-K58,K58-J58))</f>
        <v>-150</v>
      </c>
      <c r="M58" s="213">
        <f t="shared" ref="M58:M60" si="24">IFERROR(IF(AND(F58="Maximize",G58="Unlock"),IF(((K58-J58)/ABS(J58))+1&lt;0,0,((K58-J58)/ABS(J58))+1),IF(AND(F58="Maximize",G58="Lock"),IF(((K58-J58)/ABS(J58))+1&lt;0,0,IF(((K58-J58)/ABS(J58))+1&gt;$N$4,$N$4,((K58-J58)/ABS(J58))+1)),IF(AND(F58="Minimize",G58="Unlock"),IF(((J58-K58)/ABS(J58))+1&lt;0,0,((J58-K58)/ABS(J58))+1),IF(AND(F58="Minimize",G58="Lock"),IF(((J58-K58)/ABS(J58))+1&lt;0,0,IF(((J58-K58)/ABS(J58))+1&gt;$N$4,$N$4,((J58-K58)/ABS(J58))+1)),IF(F58="Min To Zero",IF(K58&gt;J58,0,IF(K58&lt;J58,0,100%))))))),0)</f>
        <v>0.75</v>
      </c>
      <c r="N58" s="214">
        <f>M58*H58</f>
        <v>3.7500000000000006E-2</v>
      </c>
      <c r="S58" s="100"/>
      <c r="T58" s="99"/>
      <c r="U58" s="99"/>
    </row>
    <row r="59" spans="2:21" x14ac:dyDescent="0.25">
      <c r="B59" s="215"/>
      <c r="C59" s="216"/>
      <c r="D59" s="217"/>
      <c r="E59" s="217"/>
      <c r="F59" s="349"/>
      <c r="G59" s="127"/>
      <c r="H59" s="217"/>
      <c r="I59" s="217"/>
      <c r="J59" s="218"/>
      <c r="K59" s="219"/>
      <c r="L59" s="219"/>
      <c r="M59" s="220" t="b">
        <f t="shared" si="24"/>
        <v>0</v>
      </c>
      <c r="N59" s="221">
        <f>M59*H59</f>
        <v>0</v>
      </c>
      <c r="R59" s="98"/>
      <c r="U59" s="99"/>
    </row>
    <row r="60" spans="2:21" ht="16.5" thickBot="1" x14ac:dyDescent="0.3">
      <c r="B60" s="222"/>
      <c r="C60" s="223"/>
      <c r="D60" s="224"/>
      <c r="E60" s="224"/>
      <c r="F60" s="351"/>
      <c r="G60" s="356"/>
      <c r="H60" s="224"/>
      <c r="I60" s="224"/>
      <c r="J60" s="225"/>
      <c r="K60" s="226"/>
      <c r="L60" s="226"/>
      <c r="M60" s="227" t="b">
        <f t="shared" si="24"/>
        <v>0</v>
      </c>
      <c r="N60" s="228">
        <f>M60*H60</f>
        <v>0</v>
      </c>
      <c r="R60" s="98"/>
      <c r="U60" s="99"/>
    </row>
    <row r="61" spans="2:21" ht="16.5" thickBot="1" x14ac:dyDescent="0.3">
      <c r="B61" s="465" t="s">
        <v>188</v>
      </c>
      <c r="C61" s="466"/>
      <c r="D61" s="229"/>
      <c r="E61" s="230"/>
      <c r="F61" s="230"/>
      <c r="G61" s="230"/>
      <c r="H61" s="230">
        <f>SUM(H58:H60)</f>
        <v>0.05</v>
      </c>
      <c r="I61" s="230"/>
      <c r="J61" s="230"/>
      <c r="K61" s="465" t="s">
        <v>145</v>
      </c>
      <c r="L61" s="467"/>
      <c r="M61" s="466"/>
      <c r="N61" s="202">
        <f>SUM(N58:N60)+N52</f>
        <v>0.84780190972983305</v>
      </c>
      <c r="R61" s="98"/>
      <c r="U61" s="99"/>
    </row>
    <row r="62" spans="2:21" ht="16.5" thickBot="1" x14ac:dyDescent="0.3">
      <c r="B62" s="465" t="s">
        <v>189</v>
      </c>
      <c r="C62" s="466"/>
      <c r="D62" s="232"/>
      <c r="E62" s="233"/>
      <c r="F62" s="233"/>
      <c r="G62" s="233"/>
      <c r="H62" s="233">
        <f>SUM(H58:H60)</f>
        <v>0.05</v>
      </c>
      <c r="I62" s="233"/>
      <c r="J62" s="233"/>
      <c r="K62" s="465" t="s">
        <v>181</v>
      </c>
      <c r="L62" s="471"/>
      <c r="M62" s="472"/>
      <c r="N62" s="202" t="str">
        <f>IF(N61&gt;=N4,"HP",IF(AND(N61&lt;N5,N61&gt;=M5),"P",IF(AND(N61&lt;N6,N61&gt;=M6),"T",IF(AND(N61&lt;N7,N61&gt;=M7),"C",IF(N61&lt;N8,"U")))))</f>
        <v>C</v>
      </c>
      <c r="R62" s="98"/>
      <c r="U62" s="99"/>
    </row>
    <row r="63" spans="2:21" x14ac:dyDescent="0.25">
      <c r="S63" s="237"/>
    </row>
    <row r="64" spans="2:21" ht="16.5" thickBot="1" x14ac:dyDescent="0.3">
      <c r="B64" s="235" t="s">
        <v>190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6"/>
      <c r="M64" s="236"/>
      <c r="N64" s="236"/>
      <c r="O64" s="236"/>
      <c r="P64" s="236"/>
      <c r="Q64" s="236"/>
      <c r="R64" s="236"/>
      <c r="S64" s="238"/>
    </row>
    <row r="65" spans="2:20" x14ac:dyDescent="0.25">
      <c r="B65" s="440" t="s">
        <v>191</v>
      </c>
      <c r="C65" s="474" t="str">
        <f>B64</f>
        <v>KEY BEHAVIOR INDICATOR (BASED CHITOSE CORE VALUE)</v>
      </c>
      <c r="D65" s="474"/>
      <c r="E65" s="474"/>
      <c r="F65" s="474"/>
      <c r="G65" s="474"/>
      <c r="H65" s="474"/>
      <c r="I65" s="474"/>
      <c r="J65" s="474"/>
      <c r="K65" s="474"/>
      <c r="L65" s="474"/>
      <c r="M65" s="475"/>
      <c r="N65" s="485" t="s">
        <v>192</v>
      </c>
      <c r="O65" s="99"/>
      <c r="R65" s="98"/>
      <c r="S65" s="238"/>
      <c r="T65" s="98"/>
    </row>
    <row r="66" spans="2:20" ht="16.5" thickBot="1" x14ac:dyDescent="0.3">
      <c r="B66" s="473"/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477"/>
      <c r="N66" s="486"/>
      <c r="O66" s="99"/>
      <c r="R66" s="98"/>
      <c r="S66" s="238"/>
      <c r="T66" s="98"/>
    </row>
    <row r="67" spans="2:20" x14ac:dyDescent="0.25">
      <c r="B67" s="361">
        <v>1</v>
      </c>
      <c r="C67" s="487" t="s">
        <v>193</v>
      </c>
      <c r="D67" s="487"/>
      <c r="E67" s="487"/>
      <c r="F67" s="487"/>
      <c r="G67" s="487"/>
      <c r="H67" s="487"/>
      <c r="I67" s="487"/>
      <c r="J67" s="487"/>
      <c r="K67" s="487"/>
      <c r="L67" s="487"/>
      <c r="M67" s="487"/>
      <c r="N67" s="357">
        <v>0</v>
      </c>
      <c r="O67" s="99"/>
      <c r="R67" s="98"/>
      <c r="S67" s="238"/>
      <c r="T67" s="98"/>
    </row>
    <row r="68" spans="2:20" x14ac:dyDescent="0.25">
      <c r="B68" s="362">
        <v>2</v>
      </c>
      <c r="C68" s="488" t="s">
        <v>194</v>
      </c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358">
        <v>0</v>
      </c>
      <c r="O68" s="99"/>
      <c r="R68" s="98"/>
      <c r="S68" s="238"/>
      <c r="T68" s="98"/>
    </row>
    <row r="69" spans="2:20" x14ac:dyDescent="0.25">
      <c r="B69" s="362">
        <v>3</v>
      </c>
      <c r="C69" s="488" t="s">
        <v>195</v>
      </c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358">
        <v>0</v>
      </c>
      <c r="O69" s="99"/>
      <c r="R69" s="98"/>
      <c r="S69" s="238"/>
      <c r="T69" s="98"/>
    </row>
    <row r="70" spans="2:20" x14ac:dyDescent="0.25">
      <c r="B70" s="362">
        <v>4</v>
      </c>
      <c r="C70" s="488" t="s">
        <v>196</v>
      </c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358">
        <v>0</v>
      </c>
      <c r="O70" s="99"/>
      <c r="R70" s="98"/>
      <c r="S70" s="238"/>
      <c r="T70" s="98"/>
    </row>
    <row r="71" spans="2:20" ht="16.5" thickBot="1" x14ac:dyDescent="0.3">
      <c r="B71" s="363">
        <v>5</v>
      </c>
      <c r="C71" s="478" t="s">
        <v>197</v>
      </c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359">
        <v>0</v>
      </c>
      <c r="O71" s="99"/>
      <c r="R71" s="98"/>
      <c r="S71" s="238"/>
      <c r="T71" s="98"/>
    </row>
    <row r="72" spans="2:20" ht="16.5" thickBot="1" x14ac:dyDescent="0.3">
      <c r="B72" s="480" t="s">
        <v>198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2"/>
      <c r="N72" s="360"/>
      <c r="O72" s="99"/>
      <c r="P72" s="99"/>
      <c r="R72" s="98"/>
      <c r="S72" s="238"/>
      <c r="T72" s="98"/>
    </row>
    <row r="73" spans="2:20" ht="16.5" thickBot="1" x14ac:dyDescent="0.3">
      <c r="B73" s="243"/>
      <c r="C73" s="244"/>
      <c r="D73" s="245"/>
      <c r="E73" s="245"/>
      <c r="F73" s="246"/>
      <c r="G73" s="246"/>
      <c r="H73" s="246"/>
      <c r="I73" s="246"/>
      <c r="J73" s="246"/>
      <c r="K73" s="246"/>
      <c r="L73" s="246"/>
      <c r="M73" s="246" t="s">
        <v>199</v>
      </c>
      <c r="N73" s="247">
        <f>AVERAGE(N67:N72)</f>
        <v>0</v>
      </c>
      <c r="O73" s="99"/>
      <c r="P73" s="99"/>
      <c r="R73" s="98"/>
      <c r="S73" s="251"/>
      <c r="T73" s="98"/>
    </row>
    <row r="74" spans="2:20" x14ac:dyDescent="0.25">
      <c r="B74" s="109"/>
      <c r="C74" s="109"/>
      <c r="D74" s="248"/>
      <c r="E74" s="248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50"/>
      <c r="R74" s="250"/>
      <c r="S74" s="238"/>
    </row>
    <row r="75" spans="2:20" x14ac:dyDescent="0.25">
      <c r="B75" s="249"/>
      <c r="C75" s="122"/>
      <c r="D75" s="122"/>
      <c r="E75" s="122"/>
      <c r="F75" s="249"/>
      <c r="G75" s="249"/>
      <c r="H75" s="249"/>
      <c r="I75" s="249"/>
      <c r="J75" s="249"/>
      <c r="K75" s="249"/>
      <c r="L75" s="249"/>
      <c r="M75" s="249"/>
      <c r="N75" s="101"/>
      <c r="O75" s="101"/>
      <c r="P75" s="99"/>
      <c r="R75" s="98"/>
      <c r="S75" s="238"/>
      <c r="T75" s="98"/>
    </row>
    <row r="76" spans="2:20" x14ac:dyDescent="0.25">
      <c r="B76" s="122"/>
      <c r="C76" s="122"/>
      <c r="D76" s="249"/>
      <c r="E76" s="249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99"/>
      <c r="R76" s="98"/>
      <c r="S76" s="253"/>
      <c r="T76" s="98"/>
    </row>
    <row r="77" spans="2:20" ht="16.5" thickBot="1" x14ac:dyDescent="0.3">
      <c r="B77" s="248"/>
      <c r="C77" s="248"/>
      <c r="D77" s="252"/>
      <c r="E77" s="252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52"/>
      <c r="Q77" s="248"/>
      <c r="R77" s="248"/>
      <c r="S77" s="238"/>
    </row>
    <row r="78" spans="2:20" x14ac:dyDescent="0.25">
      <c r="B78" s="468" t="s">
        <v>200</v>
      </c>
      <c r="C78" s="469"/>
      <c r="D78" s="470"/>
      <c r="E78" s="440" t="s">
        <v>201</v>
      </c>
      <c r="F78" s="483"/>
      <c r="G78" s="483"/>
      <c r="H78" s="483"/>
      <c r="I78" s="483"/>
      <c r="J78" s="483"/>
      <c r="K78" s="483"/>
      <c r="L78" s="483"/>
      <c r="M78" s="483"/>
      <c r="N78" s="484"/>
      <c r="R78" s="238"/>
      <c r="S78" s="238"/>
      <c r="T78" s="98"/>
    </row>
    <row r="79" spans="2:20" s="117" customFormat="1" x14ac:dyDescent="0.25">
      <c r="B79" s="364" t="s">
        <v>128</v>
      </c>
      <c r="C79" s="365" t="s">
        <v>202</v>
      </c>
      <c r="D79" s="366" t="s">
        <v>133</v>
      </c>
      <c r="E79" s="492" t="s">
        <v>128</v>
      </c>
      <c r="F79" s="493"/>
      <c r="G79" s="494"/>
      <c r="H79" s="417" t="s">
        <v>202</v>
      </c>
      <c r="I79" s="417"/>
      <c r="J79" s="417"/>
      <c r="K79" s="417"/>
      <c r="L79" s="417" t="s">
        <v>133</v>
      </c>
      <c r="M79" s="417"/>
      <c r="N79" s="417"/>
      <c r="R79" s="367"/>
      <c r="S79" s="98"/>
    </row>
    <row r="80" spans="2:20" x14ac:dyDescent="0.25">
      <c r="B80" s="499" t="str">
        <f>C5</f>
        <v>R. Nurwulan Kusumawati</v>
      </c>
      <c r="C80" s="502" t="str">
        <f>C6</f>
        <v>Kazuhito Aminaka</v>
      </c>
      <c r="D80" s="505" t="str">
        <f>C7</f>
        <v>Dedie Suherlan</v>
      </c>
      <c r="E80" s="508" t="str">
        <f>B80</f>
        <v>R. Nurwulan Kusumawati</v>
      </c>
      <c r="F80" s="509"/>
      <c r="G80" s="510"/>
      <c r="H80" s="516" t="str">
        <f>C80</f>
        <v>Kazuhito Aminaka</v>
      </c>
      <c r="I80" s="516"/>
      <c r="J80" s="516"/>
      <c r="K80" s="516"/>
      <c r="L80" s="418" t="str">
        <f>D80</f>
        <v>Dedie Suherlan</v>
      </c>
      <c r="M80" s="419"/>
      <c r="N80" s="420"/>
      <c r="R80" s="238"/>
      <c r="S80" s="117"/>
      <c r="T80" s="98"/>
    </row>
    <row r="81" spans="2:20" x14ac:dyDescent="0.25">
      <c r="B81" s="500"/>
      <c r="C81" s="503"/>
      <c r="D81" s="506"/>
      <c r="E81" s="511"/>
      <c r="F81" s="419"/>
      <c r="G81" s="512"/>
      <c r="H81" s="516"/>
      <c r="I81" s="516"/>
      <c r="J81" s="516"/>
      <c r="K81" s="516"/>
      <c r="L81" s="418"/>
      <c r="M81" s="419"/>
      <c r="N81" s="420"/>
      <c r="R81" s="238"/>
      <c r="S81" s="98"/>
      <c r="T81" s="98"/>
    </row>
    <row r="82" spans="2:20" x14ac:dyDescent="0.25">
      <c r="B82" s="500"/>
      <c r="C82" s="503"/>
      <c r="D82" s="506"/>
      <c r="E82" s="511"/>
      <c r="F82" s="419"/>
      <c r="G82" s="512"/>
      <c r="H82" s="516"/>
      <c r="I82" s="516"/>
      <c r="J82" s="516"/>
      <c r="K82" s="516"/>
      <c r="L82" s="418"/>
      <c r="M82" s="419"/>
      <c r="N82" s="420"/>
      <c r="R82" s="238"/>
      <c r="S82" s="98"/>
      <c r="T82" s="98"/>
    </row>
    <row r="83" spans="2:20" ht="16.5" thickBot="1" x14ac:dyDescent="0.3">
      <c r="B83" s="501"/>
      <c r="C83" s="504"/>
      <c r="D83" s="507"/>
      <c r="E83" s="513"/>
      <c r="F83" s="514"/>
      <c r="G83" s="515"/>
      <c r="H83" s="517"/>
      <c r="I83" s="517"/>
      <c r="J83" s="517"/>
      <c r="K83" s="517"/>
      <c r="L83" s="418"/>
      <c r="M83" s="419"/>
      <c r="N83" s="420"/>
      <c r="R83" s="100"/>
      <c r="S83" s="98"/>
      <c r="T83" s="98"/>
    </row>
    <row r="84" spans="2:20" ht="16.5" thickBot="1" x14ac:dyDescent="0.3">
      <c r="B84" s="262" t="s">
        <v>203</v>
      </c>
      <c r="C84" s="263" t="s">
        <v>203</v>
      </c>
      <c r="D84" s="264" t="s">
        <v>203</v>
      </c>
      <c r="E84" s="490" t="s">
        <v>203</v>
      </c>
      <c r="F84" s="491"/>
      <c r="G84" s="491"/>
      <c r="H84" s="495" t="s">
        <v>203</v>
      </c>
      <c r="I84" s="496"/>
      <c r="J84" s="497"/>
      <c r="K84" s="498"/>
      <c r="L84" s="421" t="s">
        <v>203</v>
      </c>
      <c r="M84" s="421"/>
      <c r="N84" s="422"/>
      <c r="R84" s="100"/>
      <c r="S84" s="98"/>
      <c r="T84" s="98"/>
    </row>
    <row r="85" spans="2:20" x14ac:dyDescent="0.25">
      <c r="S85" s="98"/>
    </row>
  </sheetData>
  <sheetProtection formatCells="0" formatColumns="0" insertRows="0" deleteRows="0"/>
  <mergeCells count="71">
    <mergeCell ref="E84:G84"/>
    <mergeCell ref="E79:G79"/>
    <mergeCell ref="H79:K79"/>
    <mergeCell ref="H84:K84"/>
    <mergeCell ref="B80:B83"/>
    <mergeCell ref="C80:C83"/>
    <mergeCell ref="D80:D83"/>
    <mergeCell ref="E80:G83"/>
    <mergeCell ref="H80:K83"/>
    <mergeCell ref="B78:D78"/>
    <mergeCell ref="B62:C62"/>
    <mergeCell ref="K62:M62"/>
    <mergeCell ref="B65:B66"/>
    <mergeCell ref="C65:M66"/>
    <mergeCell ref="C71:M71"/>
    <mergeCell ref="B72:M72"/>
    <mergeCell ref="E78:N78"/>
    <mergeCell ref="N65:N66"/>
    <mergeCell ref="C67:M67"/>
    <mergeCell ref="C68:M68"/>
    <mergeCell ref="C69:M69"/>
    <mergeCell ref="C70:M70"/>
    <mergeCell ref="C52:G52"/>
    <mergeCell ref="K52:M52"/>
    <mergeCell ref="K53:M53"/>
    <mergeCell ref="B57:N57"/>
    <mergeCell ref="B61:C61"/>
    <mergeCell ref="K61:M61"/>
    <mergeCell ref="B29:B41"/>
    <mergeCell ref="C29:C30"/>
    <mergeCell ref="C31:C33"/>
    <mergeCell ref="C34:C38"/>
    <mergeCell ref="C41:G41"/>
    <mergeCell ref="C39:C40"/>
    <mergeCell ref="B42:B51"/>
    <mergeCell ref="C42:C46"/>
    <mergeCell ref="C47:C48"/>
    <mergeCell ref="C49:C50"/>
    <mergeCell ref="C51:G51"/>
    <mergeCell ref="L84:N84"/>
    <mergeCell ref="K3:N3"/>
    <mergeCell ref="D4:D5"/>
    <mergeCell ref="E4:H5"/>
    <mergeCell ref="K4:L4"/>
    <mergeCell ref="K5:L5"/>
    <mergeCell ref="G12:G13"/>
    <mergeCell ref="D6:D7"/>
    <mergeCell ref="E6:H7"/>
    <mergeCell ref="K6:L6"/>
    <mergeCell ref="K7:L7"/>
    <mergeCell ref="E8:H8"/>
    <mergeCell ref="K8:L8"/>
    <mergeCell ref="D12:D13"/>
    <mergeCell ref="E12:E13"/>
    <mergeCell ref="F12:F13"/>
    <mergeCell ref="I4:J5"/>
    <mergeCell ref="I6:J8"/>
    <mergeCell ref="B1:N2"/>
    <mergeCell ref="L79:N79"/>
    <mergeCell ref="L80:N83"/>
    <mergeCell ref="B12:B13"/>
    <mergeCell ref="C12:C13"/>
    <mergeCell ref="I12:I13"/>
    <mergeCell ref="B14:B20"/>
    <mergeCell ref="C15:C16"/>
    <mergeCell ref="C20:G20"/>
    <mergeCell ref="B21:B28"/>
    <mergeCell ref="C21:C23"/>
    <mergeCell ref="C28:G28"/>
    <mergeCell ref="C17:C19"/>
    <mergeCell ref="C25:C27"/>
  </mergeCells>
  <phoneticPr fontId="3" type="noConversion"/>
  <conditionalFormatting sqref="E6">
    <cfRule type="cellIs" dxfId="437" priority="67" operator="lessThan">
      <formula>0.8</formula>
    </cfRule>
    <cfRule type="cellIs" dxfId="436" priority="66" operator="equal">
      <formula>0.8</formula>
    </cfRule>
    <cfRule type="cellIs" dxfId="435" priority="65" operator="greaterThan">
      <formula>0.8</formula>
    </cfRule>
    <cfRule type="cellIs" dxfId="434" priority="64" operator="equal">
      <formula>0.95</formula>
    </cfRule>
    <cfRule type="cellIs" dxfId="433" priority="63" operator="greaterThan">
      <formula>0.95</formula>
    </cfRule>
    <cfRule type="cellIs" dxfId="432" priority="62" operator="equal">
      <formula>1.05</formula>
    </cfRule>
    <cfRule type="cellIs" dxfId="431" priority="61" operator="greaterThan">
      <formula>1.05</formula>
    </cfRule>
    <cfRule type="cellIs" dxfId="430" priority="60" operator="equal">
      <formula>1.25</formula>
    </cfRule>
    <cfRule type="cellIs" dxfId="429" priority="59" operator="greaterThan">
      <formula>1.25</formula>
    </cfRule>
  </conditionalFormatting>
  <conditionalFormatting sqref="E8:E11">
    <cfRule type="containsText" dxfId="428" priority="68" operator="containsText" text="U">
      <formula>NOT(ISERROR(SEARCH("U",E8)))</formula>
    </cfRule>
    <cfRule type="containsText" dxfId="427" priority="69" operator="containsText" text="C">
      <formula>NOT(ISERROR(SEARCH("C",E8)))</formula>
    </cfRule>
    <cfRule type="containsText" dxfId="426" priority="70" operator="containsText" text="T">
      <formula>NOT(ISERROR(SEARCH("T",E8)))</formula>
    </cfRule>
    <cfRule type="containsText" dxfId="425" priority="71" operator="containsText" text="P">
      <formula>NOT(ISERROR(SEARCH("P",E8)))</formula>
    </cfRule>
    <cfRule type="containsText" dxfId="424" priority="72" operator="containsText" text="HP">
      <formula>NOT(ISERROR(SEARCH("HP",E8)))</formula>
    </cfRule>
  </conditionalFormatting>
  <conditionalFormatting sqref="M14:M19">
    <cfRule type="cellIs" dxfId="423" priority="49" operator="lessThan">
      <formula>0.8</formula>
    </cfRule>
    <cfRule type="cellIs" dxfId="422" priority="48" operator="equal">
      <formula>0.8</formula>
    </cfRule>
    <cfRule type="cellIs" dxfId="421" priority="47" operator="greaterThan">
      <formula>0.8</formula>
    </cfRule>
    <cfRule type="cellIs" dxfId="420" priority="46" operator="equal">
      <formula>0.95</formula>
    </cfRule>
    <cfRule type="cellIs" dxfId="419" priority="45" operator="greaterThan">
      <formula>0.95</formula>
    </cfRule>
    <cfRule type="cellIs" dxfId="418" priority="44" operator="equal">
      <formula>1.05</formula>
    </cfRule>
    <cfRule type="cellIs" dxfId="417" priority="43" operator="greaterThan">
      <formula>1.05</formula>
    </cfRule>
    <cfRule type="cellIs" dxfId="416" priority="42" operator="equal">
      <formula>1.25</formula>
    </cfRule>
    <cfRule type="cellIs" dxfId="415" priority="41" operator="greaterThan">
      <formula>1.25</formula>
    </cfRule>
  </conditionalFormatting>
  <conditionalFormatting sqref="M21:M27">
    <cfRule type="cellIs" dxfId="414" priority="23" operator="greaterThan">
      <formula>1.25</formula>
    </cfRule>
    <cfRule type="cellIs" dxfId="413" priority="24" operator="equal">
      <formula>1.25</formula>
    </cfRule>
    <cfRule type="cellIs" dxfId="412" priority="25" operator="greaterThan">
      <formula>1.05</formula>
    </cfRule>
    <cfRule type="cellIs" dxfId="411" priority="26" operator="equal">
      <formula>1.05</formula>
    </cfRule>
    <cfRule type="cellIs" dxfId="410" priority="27" operator="greaterThan">
      <formula>0.95</formula>
    </cfRule>
    <cfRule type="cellIs" dxfId="409" priority="28" operator="equal">
      <formula>0.95</formula>
    </cfRule>
    <cfRule type="cellIs" dxfId="408" priority="29" operator="greaterThan">
      <formula>0.8</formula>
    </cfRule>
    <cfRule type="cellIs" dxfId="407" priority="30" operator="equal">
      <formula>0.8</formula>
    </cfRule>
    <cfRule type="cellIs" dxfId="406" priority="31" operator="lessThan">
      <formula>0.8</formula>
    </cfRule>
  </conditionalFormatting>
  <conditionalFormatting sqref="M25:M27">
    <cfRule type="cellIs" dxfId="405" priority="36" operator="greaterThan">
      <formula>0.95</formula>
    </cfRule>
    <cfRule type="cellIs" dxfId="404" priority="37" operator="equal">
      <formula>0.95</formula>
    </cfRule>
    <cfRule type="cellIs" dxfId="403" priority="38" operator="greaterThan">
      <formula>0.8</formula>
    </cfRule>
    <cfRule type="cellIs" dxfId="402" priority="32" operator="greaterThan">
      <formula>1.25</formula>
    </cfRule>
    <cfRule type="cellIs" dxfId="401" priority="33" operator="equal">
      <formula>1.25</formula>
    </cfRule>
    <cfRule type="cellIs" dxfId="400" priority="34" operator="greaterThan">
      <formula>1.05</formula>
    </cfRule>
    <cfRule type="cellIs" dxfId="399" priority="35" operator="equal">
      <formula>1.05</formula>
    </cfRule>
  </conditionalFormatting>
  <conditionalFormatting sqref="M29:M40">
    <cfRule type="cellIs" dxfId="398" priority="19" operator="equal">
      <formula>0.95</formula>
    </cfRule>
    <cfRule type="cellIs" dxfId="397" priority="18" operator="greaterThan">
      <formula>0.95</formula>
    </cfRule>
    <cfRule type="cellIs" dxfId="396" priority="17" operator="equal">
      <formula>1.05</formula>
    </cfRule>
    <cfRule type="cellIs" dxfId="395" priority="16" operator="greaterThan">
      <formula>1.05</formula>
    </cfRule>
    <cfRule type="cellIs" dxfId="394" priority="15" operator="equal">
      <formula>1.25</formula>
    </cfRule>
    <cfRule type="cellIs" dxfId="393" priority="14" operator="greaterThan">
      <formula>1.25</formula>
    </cfRule>
    <cfRule type="cellIs" dxfId="392" priority="21" operator="equal">
      <formula>0.8</formula>
    </cfRule>
    <cfRule type="cellIs" dxfId="391" priority="22" operator="lessThan">
      <formula>0.8</formula>
    </cfRule>
    <cfRule type="cellIs" dxfId="390" priority="20" operator="greaterThan">
      <formula>0.8</formula>
    </cfRule>
  </conditionalFormatting>
  <conditionalFormatting sqref="M42:M50">
    <cfRule type="cellIs" dxfId="389" priority="12" operator="equal">
      <formula>0.8</formula>
    </cfRule>
    <cfRule type="cellIs" dxfId="388" priority="11" operator="greaterThan">
      <formula>0.8</formula>
    </cfRule>
    <cfRule type="cellIs" dxfId="387" priority="10" operator="equal">
      <formula>0.95</formula>
    </cfRule>
    <cfRule type="cellIs" dxfId="386" priority="9" operator="greaterThan">
      <formula>0.95</formula>
    </cfRule>
    <cfRule type="cellIs" dxfId="385" priority="8" operator="equal">
      <formula>1.05</formula>
    </cfRule>
    <cfRule type="cellIs" dxfId="384" priority="7" operator="greaterThan">
      <formula>1.05</formula>
    </cfRule>
    <cfRule type="cellIs" dxfId="383" priority="6" operator="equal">
      <formula>1.25</formula>
    </cfRule>
    <cfRule type="cellIs" dxfId="382" priority="5" operator="greaterThan">
      <formula>1.25</formula>
    </cfRule>
    <cfRule type="cellIs" dxfId="381" priority="13" operator="lessThan">
      <formula>0.8</formula>
    </cfRule>
  </conditionalFormatting>
  <conditionalFormatting sqref="M58:M60">
    <cfRule type="cellIs" dxfId="380" priority="50" operator="greaterThan">
      <formula>1.25</formula>
    </cfRule>
    <cfRule type="cellIs" dxfId="379" priority="51" operator="equal">
      <formula>1.25</formula>
    </cfRule>
    <cfRule type="cellIs" dxfId="378" priority="52" operator="greaterThan">
      <formula>1.05</formula>
    </cfRule>
    <cfRule type="cellIs" dxfId="377" priority="53" operator="equal">
      <formula>1.05</formula>
    </cfRule>
    <cfRule type="cellIs" dxfId="376" priority="54" operator="greaterThan">
      <formula>0.95</formula>
    </cfRule>
    <cfRule type="cellIs" dxfId="375" priority="55" operator="equal">
      <formula>0.95</formula>
    </cfRule>
    <cfRule type="cellIs" dxfId="374" priority="56" operator="greaterThan">
      <formula>0.8</formula>
    </cfRule>
    <cfRule type="cellIs" dxfId="373" priority="57" operator="equal">
      <formula>0.8</formula>
    </cfRule>
    <cfRule type="cellIs" dxfId="372" priority="58" operator="lessThan">
      <formula>0.8</formula>
    </cfRule>
  </conditionalFormatting>
  <conditionalFormatting sqref="N56 N58:N60">
    <cfRule type="cellIs" dxfId="371" priority="73" stopIfTrue="1" operator="equal">
      <formula>"U"</formula>
    </cfRule>
    <cfRule type="cellIs" dxfId="370" priority="74" stopIfTrue="1" operator="equal">
      <formula>"HP"</formula>
    </cfRule>
    <cfRule type="cellIs" dxfId="369" priority="75" stopIfTrue="1" operator="equal">
      <formula>"P"</formula>
    </cfRule>
    <cfRule type="cellIs" dxfId="368" priority="76" stopIfTrue="1" operator="equal">
      <formula>"T"</formula>
    </cfRule>
    <cfRule type="cellIs" dxfId="367" priority="77" stopIfTrue="1" operator="equal">
      <formula>"C"</formula>
    </cfRule>
  </conditionalFormatting>
  <dataValidations count="4">
    <dataValidation type="list" allowBlank="1" showInputMessage="1" showErrorMessage="1" sqref="E4:H5" xr:uid="{874ACF52-6532-4EA8-82BC-B911BACF6E16}">
      <formula1>$S$4:$S$5</formula1>
    </dataValidation>
    <dataValidation type="list" allowBlank="1" showInputMessage="1" showErrorMessage="1" sqref="F58:F60 F42:F50 F29:F40 F21:F27 F14:F19" xr:uid="{8189EFA6-7D61-4BDB-8EF9-AFC3C4C89F31}">
      <formula1>$T$8:$T$12</formula1>
    </dataValidation>
    <dataValidation type="list" allowBlank="1" showInputMessage="1" showErrorMessage="1" sqref="G14:G19 G58:G60 G21:G27 G29:G40 G42:G50" xr:uid="{12AEADF1-ED96-40B3-B726-5948EBFC0888}">
      <formula1>$U$8:$U$9</formula1>
    </dataValidation>
    <dataValidation type="list" allowBlank="1" showInputMessage="1" showErrorMessage="1" sqref="B10:B11" xr:uid="{F98DB551-6E61-46B3-884E-6878595F908F}">
      <formula1>$S$6:$S$17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62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8DA9-82D8-471E-870F-7461256D70D9}">
  <dimension ref="A1:AC200"/>
  <sheetViews>
    <sheetView tabSelected="1" topLeftCell="A8" zoomScale="85" zoomScaleNormal="85" workbookViewId="0">
      <selection activeCell="J8" sqref="J8"/>
    </sheetView>
  </sheetViews>
  <sheetFormatPr defaultRowHeight="15" x14ac:dyDescent="0.25"/>
  <cols>
    <col min="1" max="1" width="35.140625" bestFit="1" customWidth="1"/>
    <col min="2" max="4" width="10.85546875" bestFit="1" customWidth="1"/>
    <col min="5" max="5" width="10.7109375" bestFit="1" customWidth="1"/>
    <col min="6" max="12" width="11.5703125" bestFit="1" customWidth="1"/>
    <col min="13" max="13" width="11.85546875" bestFit="1" customWidth="1"/>
    <col min="14" max="14" width="16.85546875" bestFit="1" customWidth="1"/>
    <col min="15" max="15" width="10.28515625" bestFit="1" customWidth="1"/>
    <col min="16" max="16" width="13.42578125" hidden="1" customWidth="1"/>
    <col min="17" max="28" width="0" hidden="1" customWidth="1"/>
    <col min="29" max="29" width="17" hidden="1" customWidth="1"/>
    <col min="30" max="30" width="0" hidden="1" customWidth="1"/>
  </cols>
  <sheetData>
    <row r="1" spans="1:17" x14ac:dyDescent="0.25">
      <c r="A1" s="6" t="s">
        <v>46</v>
      </c>
    </row>
    <row r="2" spans="1:17" x14ac:dyDescent="0.25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95</v>
      </c>
      <c r="P2" s="325" t="s">
        <v>335</v>
      </c>
      <c r="Q2" s="325" t="s">
        <v>336</v>
      </c>
    </row>
    <row r="3" spans="1:17" x14ac:dyDescent="0.25">
      <c r="A3" s="5" t="s">
        <v>41</v>
      </c>
      <c r="B3" s="10">
        <v>26485</v>
      </c>
      <c r="C3" s="10">
        <v>25836</v>
      </c>
      <c r="D3" s="10">
        <v>25539</v>
      </c>
      <c r="E3" s="10">
        <v>21137</v>
      </c>
      <c r="F3" s="10">
        <v>27923</v>
      </c>
      <c r="G3" s="10">
        <v>30862</v>
      </c>
      <c r="H3" s="10">
        <v>33298</v>
      </c>
      <c r="I3" s="10">
        <v>31479</v>
      </c>
      <c r="J3" s="10">
        <v>34015</v>
      </c>
      <c r="K3" s="10">
        <v>32635</v>
      </c>
      <c r="L3" s="10">
        <v>39229</v>
      </c>
      <c r="M3" s="10">
        <v>36193</v>
      </c>
      <c r="N3" s="10">
        <f>SUM(B3:M3)</f>
        <v>364631</v>
      </c>
      <c r="P3" s="323" t="s">
        <v>41</v>
      </c>
      <c r="Q3" s="324">
        <f>N3</f>
        <v>364631</v>
      </c>
    </row>
    <row r="4" spans="1:17" x14ac:dyDescent="0.25">
      <c r="A4" s="5" t="s">
        <v>42</v>
      </c>
      <c r="B4" s="10">
        <v>25308.978539000003</v>
      </c>
      <c r="C4" s="10">
        <v>25784.852425999998</v>
      </c>
      <c r="D4" s="10">
        <v>18104.708033999999</v>
      </c>
      <c r="E4" s="10">
        <v>16410.423638</v>
      </c>
      <c r="F4" s="10">
        <v>20299.306898999996</v>
      </c>
      <c r="G4" s="3"/>
      <c r="H4" s="3"/>
      <c r="I4" s="3"/>
      <c r="J4" s="3"/>
      <c r="K4" s="3"/>
      <c r="L4" s="3"/>
      <c r="M4" s="3"/>
      <c r="N4" s="10">
        <f>SUM(B4:M4)</f>
        <v>105908.26953599998</v>
      </c>
      <c r="P4" s="6" t="s">
        <v>42</v>
      </c>
      <c r="Q4" s="324">
        <f>N4</f>
        <v>105908.26953599998</v>
      </c>
    </row>
    <row r="5" spans="1:17" x14ac:dyDescent="0.25">
      <c r="A5" s="5" t="s">
        <v>96</v>
      </c>
      <c r="B5" s="10">
        <f>B4</f>
        <v>25308.978539000003</v>
      </c>
      <c r="C5" s="10">
        <f>SUM($B$4:C$4)</f>
        <v>51093.830965000001</v>
      </c>
      <c r="D5" s="10">
        <f>SUM($B$4:D$4)</f>
        <v>69198.538998999997</v>
      </c>
      <c r="E5" s="10">
        <f>SUM($B$4:E$4)</f>
        <v>85608.96263699999</v>
      </c>
      <c r="F5" s="10">
        <f>SUM($B$4:F$4)</f>
        <v>105908.26953599998</v>
      </c>
      <c r="G5" s="10">
        <f>SUM($B$4:G$4)</f>
        <v>105908.26953599998</v>
      </c>
      <c r="H5" s="10">
        <f>SUM($B$4:H$4)</f>
        <v>105908.26953599998</v>
      </c>
      <c r="I5" s="10">
        <f>SUM($B$4:I$4)</f>
        <v>105908.26953599998</v>
      </c>
      <c r="J5" s="10">
        <f>SUM($B$4:J$4)</f>
        <v>105908.26953599998</v>
      </c>
      <c r="K5" s="10">
        <f>SUM($B$4:K$4)</f>
        <v>105908.26953599998</v>
      </c>
      <c r="L5" s="10">
        <f>SUM($B$4:L$4)</f>
        <v>105908.26953599998</v>
      </c>
      <c r="M5" s="10">
        <f>SUM($B$4:M$4)</f>
        <v>105908.26953599998</v>
      </c>
      <c r="N5" s="10">
        <f>M5</f>
        <v>105908.26953599998</v>
      </c>
    </row>
    <row r="6" spans="1:17" x14ac:dyDescent="0.25">
      <c r="A6" s="5" t="s">
        <v>43</v>
      </c>
      <c r="B6" s="4">
        <f>B4/B3</f>
        <v>0.95559669771568823</v>
      </c>
      <c r="C6" s="4">
        <f t="shared" ref="C6:N6" si="0">C4/C3</f>
        <v>0.99802029826598537</v>
      </c>
      <c r="D6" s="4">
        <f t="shared" si="0"/>
        <v>0.70890434370962052</v>
      </c>
      <c r="E6" s="4">
        <f t="shared" si="0"/>
        <v>0.77638376486729432</v>
      </c>
      <c r="F6" s="4">
        <f t="shared" si="0"/>
        <v>0.72697442606453444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0.29045327889290812</v>
      </c>
      <c r="P6" s="325" t="s">
        <v>335</v>
      </c>
      <c r="Q6" s="6" t="s">
        <v>295</v>
      </c>
    </row>
    <row r="7" spans="1:17" x14ac:dyDescent="0.25">
      <c r="A7" s="5" t="s">
        <v>44</v>
      </c>
      <c r="B7" s="4">
        <f>B4/B3</f>
        <v>0.95559669771568823</v>
      </c>
      <c r="C7" s="4">
        <f>SUM($B$4:C$4)/SUM($B$3:C$3)</f>
        <v>0.97654538263794655</v>
      </c>
      <c r="D7" s="4">
        <f>SUM($B$4:D$4)/SUM($B$3:D$3)</f>
        <v>0.88875595940148977</v>
      </c>
      <c r="E7" s="4">
        <f>SUM($B$4:E$4)/SUM($B$3:E$3)</f>
        <v>0.86476320127882655</v>
      </c>
      <c r="F7" s="4">
        <f>SUM($B$4:F$4)/SUM($B$3:F$3)</f>
        <v>0.83444901935077198</v>
      </c>
      <c r="G7" s="4">
        <f>SUM($B$4:G$4)/SUM($B$3:G$3)</f>
        <v>0.67123163311404332</v>
      </c>
      <c r="H7" s="4">
        <f>SUM($B$4:H$4)/SUM($B$3:H$3)</f>
        <v>0.55426140640569388</v>
      </c>
      <c r="I7" s="4">
        <f>SUM($B$4:I$4)/SUM($B$3:I$3)</f>
        <v>0.47586603793151466</v>
      </c>
      <c r="J7" s="4">
        <f>SUM($B$4:J$4)/SUM($B$3:J$3)</f>
        <v>0.41277865074403475</v>
      </c>
      <c r="K7" s="4">
        <f>SUM($B$4:K$4)/SUM($B$3:K$3)</f>
        <v>0.36619977087849953</v>
      </c>
      <c r="L7" s="4">
        <f>SUM($B$4:L$4)/SUM($B$3:L$3)</f>
        <v>0.32246046296713526</v>
      </c>
      <c r="M7" s="4">
        <f>SUM($B$4:M$4)/SUM($B$3:M$3)</f>
        <v>0.29045327889290812</v>
      </c>
      <c r="N7" s="4"/>
      <c r="O7" s="1"/>
      <c r="P7" s="323" t="s">
        <v>41</v>
      </c>
      <c r="Q7" s="1">
        <f>(Q3-Q4)/Q3</f>
        <v>0.70954672110709194</v>
      </c>
    </row>
    <row r="8" spans="1:17" x14ac:dyDescent="0.25">
      <c r="A8" s="323" t="s">
        <v>344</v>
      </c>
      <c r="P8" s="6" t="s">
        <v>42</v>
      </c>
      <c r="Q8" s="1">
        <f>Q4/Q3</f>
        <v>0.29045327889290812</v>
      </c>
    </row>
    <row r="10" spans="1:17" x14ac:dyDescent="0.25">
      <c r="A10" s="6" t="s">
        <v>46</v>
      </c>
    </row>
    <row r="11" spans="1:17" x14ac:dyDescent="0.25">
      <c r="A11" s="5" t="s">
        <v>45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95</v>
      </c>
    </row>
    <row r="12" spans="1:17" x14ac:dyDescent="0.25">
      <c r="A12" s="5" t="s">
        <v>41</v>
      </c>
      <c r="B12" s="10">
        <v>4282</v>
      </c>
      <c r="C12" s="10">
        <v>4333</v>
      </c>
      <c r="D12" s="10">
        <v>3562</v>
      </c>
      <c r="E12" s="10">
        <v>2649</v>
      </c>
      <c r="F12" s="10">
        <v>4925</v>
      </c>
      <c r="G12" s="10">
        <v>5688</v>
      </c>
      <c r="H12" s="10">
        <v>5955</v>
      </c>
      <c r="I12" s="10">
        <v>5704</v>
      </c>
      <c r="J12" s="10">
        <v>6910</v>
      </c>
      <c r="K12" s="10">
        <v>6739</v>
      </c>
      <c r="L12" s="10">
        <v>8250</v>
      </c>
      <c r="M12" s="10">
        <v>8034</v>
      </c>
      <c r="N12" s="328">
        <f>SUM(B12:M12)</f>
        <v>67031</v>
      </c>
    </row>
    <row r="13" spans="1:17" x14ac:dyDescent="0.25">
      <c r="A13" s="5" t="s">
        <v>42</v>
      </c>
      <c r="B13" s="10">
        <v>4297.4398750000037</v>
      </c>
      <c r="C13" s="10">
        <v>4545.469511999996</v>
      </c>
      <c r="D13" s="10">
        <v>2944.3088299999981</v>
      </c>
      <c r="E13" s="10">
        <v>2682.0088259999993</v>
      </c>
      <c r="F13" s="10">
        <v>3532.0899819999941</v>
      </c>
      <c r="G13" s="298"/>
      <c r="H13" s="298"/>
      <c r="I13" s="298"/>
      <c r="J13" s="298"/>
      <c r="K13" s="298"/>
      <c r="L13" s="298"/>
      <c r="M13" s="298"/>
      <c r="N13" s="328">
        <f>SUM(B13:M13)</f>
        <v>18001.317024999989</v>
      </c>
    </row>
    <row r="14" spans="1:17" x14ac:dyDescent="0.25">
      <c r="A14" s="5" t="s">
        <v>96</v>
      </c>
      <c r="B14" s="10">
        <f>B13</f>
        <v>4297.4398750000037</v>
      </c>
      <c r="C14" s="10">
        <f>SUM($B$13:C$13)</f>
        <v>8842.9093869999997</v>
      </c>
      <c r="D14" s="10">
        <f>SUM($B$13:D$13)</f>
        <v>11787.218216999998</v>
      </c>
      <c r="E14" s="10">
        <f>SUM($B$13:E$13)</f>
        <v>14469.227042999997</v>
      </c>
      <c r="F14" s="10">
        <f>SUM($B$13:F$13)</f>
        <v>18001.317024999989</v>
      </c>
      <c r="G14" s="10">
        <f>SUM($B$13:G$13)</f>
        <v>18001.317024999989</v>
      </c>
      <c r="H14" s="10">
        <f>SUM($B$13:H$13)</f>
        <v>18001.317024999989</v>
      </c>
      <c r="I14" s="10">
        <f>SUM($B$13:I$13)</f>
        <v>18001.317024999989</v>
      </c>
      <c r="J14" s="10">
        <f>SUM($B$13:J$13)</f>
        <v>18001.317024999989</v>
      </c>
      <c r="K14" s="10">
        <f>SUM($B$13:K$13)</f>
        <v>18001.317024999989</v>
      </c>
      <c r="L14" s="10">
        <f>SUM($B$13:L$13)</f>
        <v>18001.317024999989</v>
      </c>
      <c r="M14" s="10">
        <f>SUM($B$13:M$13)</f>
        <v>18001.317024999989</v>
      </c>
      <c r="N14" s="326"/>
    </row>
    <row r="15" spans="1:17" x14ac:dyDescent="0.25">
      <c r="A15" s="5" t="s">
        <v>363</v>
      </c>
      <c r="B15" s="4">
        <f>B13/B12</f>
        <v>1.0036057624941626</v>
      </c>
      <c r="C15" s="4">
        <f t="shared" ref="C15" si="1">C13/C12</f>
        <v>1.0490351977844441</v>
      </c>
      <c r="D15" s="4">
        <f t="shared" ref="D15" si="2">D13/D12</f>
        <v>0.82658866647950535</v>
      </c>
      <c r="E15" s="4">
        <f t="shared" ref="E15" si="3">E13/E12</f>
        <v>1.0124608629671572</v>
      </c>
      <c r="F15" s="4">
        <f t="shared" ref="F15" si="4">F13/F12</f>
        <v>0.717175630862943</v>
      </c>
      <c r="G15" s="4">
        <f t="shared" ref="G15" si="5">G13/G12</f>
        <v>0</v>
      </c>
      <c r="H15" s="4">
        <f t="shared" ref="H15" si="6">H13/H12</f>
        <v>0</v>
      </c>
      <c r="I15" s="4">
        <f t="shared" ref="I15" si="7">I13/I12</f>
        <v>0</v>
      </c>
      <c r="J15" s="4">
        <f t="shared" ref="J15" si="8">J13/J12</f>
        <v>0</v>
      </c>
      <c r="K15" s="4">
        <f t="shared" ref="K15" si="9">K13/K12</f>
        <v>0</v>
      </c>
      <c r="L15" s="4">
        <f t="shared" ref="L15" si="10">L13/L12</f>
        <v>0</v>
      </c>
      <c r="M15" s="4">
        <f t="shared" ref="M15" si="11">M13/M12</f>
        <v>0</v>
      </c>
      <c r="N15" s="4">
        <f t="shared" ref="N15" si="12">N13/N12</f>
        <v>0.26855211804985735</v>
      </c>
    </row>
    <row r="16" spans="1:17" x14ac:dyDescent="0.25">
      <c r="A16" s="5" t="s">
        <v>44</v>
      </c>
      <c r="B16" s="4">
        <f>B13/N12</f>
        <v>6.4111230251674658E-2</v>
      </c>
      <c r="C16" s="4">
        <f>SUM($B$13:C$13)/$N$12</f>
        <v>0.13192268334054391</v>
      </c>
      <c r="D16" s="4">
        <f>SUM($B$13:D$13)/$N$12</f>
        <v>0.17584726793573119</v>
      </c>
      <c r="E16" s="4">
        <f>SUM($B$13:E$13)/$N$12</f>
        <v>0.21585873764377672</v>
      </c>
      <c r="F16" s="4">
        <f>SUM($B$13:F$13)/$N$12</f>
        <v>0.26855211804985735</v>
      </c>
      <c r="G16" s="4">
        <f>SUM($B$13:G$13)/$N$12</f>
        <v>0.26855211804985735</v>
      </c>
      <c r="H16" s="4">
        <f>SUM($B$13:H$13)/$N$12</f>
        <v>0.26855211804985735</v>
      </c>
      <c r="I16" s="4">
        <f>SUM($B$13:I$13)/$N$12</f>
        <v>0.26855211804985735</v>
      </c>
      <c r="J16" s="4">
        <f>SUM($B$13:J$13)/$N$12</f>
        <v>0.26855211804985735</v>
      </c>
      <c r="K16" s="4">
        <f>SUM($B$13:K$13)/$N$12</f>
        <v>0.26855211804985735</v>
      </c>
      <c r="L16" s="4">
        <f>SUM($B$13:L$13)/$N$12</f>
        <v>0.26855211804985735</v>
      </c>
      <c r="M16" s="4">
        <f>SUM($B$13:M$13)/$N$12</f>
        <v>0.26855211804985735</v>
      </c>
      <c r="N16" s="4"/>
    </row>
    <row r="17" spans="1:29" x14ac:dyDescent="0.25">
      <c r="A17" s="323" t="s">
        <v>345</v>
      </c>
    </row>
    <row r="19" spans="1:29" x14ac:dyDescent="0.25">
      <c r="A19" s="6" t="s">
        <v>46</v>
      </c>
      <c r="N19">
        <v>19042000</v>
      </c>
    </row>
    <row r="20" spans="1:29" x14ac:dyDescent="0.25">
      <c r="A20" s="5" t="s">
        <v>47</v>
      </c>
      <c r="B20" s="5" t="s">
        <v>29</v>
      </c>
      <c r="C20" s="5" t="s">
        <v>30</v>
      </c>
      <c r="D20" s="5" t="s">
        <v>31</v>
      </c>
      <c r="E20" s="5" t="s">
        <v>32</v>
      </c>
      <c r="F20" s="5" t="s">
        <v>33</v>
      </c>
      <c r="G20" s="5" t="s">
        <v>34</v>
      </c>
      <c r="H20" s="5" t="s">
        <v>35</v>
      </c>
      <c r="I20" s="5" t="s">
        <v>36</v>
      </c>
      <c r="J20" s="5" t="s">
        <v>37</v>
      </c>
      <c r="K20" s="5" t="s">
        <v>38</v>
      </c>
      <c r="L20" s="5" t="s">
        <v>39</v>
      </c>
      <c r="M20" s="5" t="s">
        <v>40</v>
      </c>
      <c r="N20" s="5" t="s">
        <v>95</v>
      </c>
    </row>
    <row r="21" spans="1:29" x14ac:dyDescent="0.25">
      <c r="A21" s="5" t="s">
        <v>41</v>
      </c>
      <c r="B21" s="10">
        <v>-378</v>
      </c>
      <c r="C21" s="10">
        <v>-331</v>
      </c>
      <c r="D21" s="10">
        <v>-618</v>
      </c>
      <c r="E21" s="10">
        <v>1096</v>
      </c>
      <c r="F21" s="10">
        <v>3106</v>
      </c>
      <c r="G21" s="10">
        <v>1255</v>
      </c>
      <c r="H21" s="10">
        <v>1554</v>
      </c>
      <c r="I21" s="10">
        <v>1330</v>
      </c>
      <c r="J21" s="10">
        <v>2613</v>
      </c>
      <c r="K21" s="10">
        <v>2041</v>
      </c>
      <c r="L21" s="10">
        <v>3601</v>
      </c>
      <c r="M21" s="10">
        <v>3774</v>
      </c>
      <c r="N21" s="10">
        <f>SUM(B21:M21)</f>
        <v>19043</v>
      </c>
    </row>
    <row r="22" spans="1:29" x14ac:dyDescent="0.25">
      <c r="A22" s="5" t="s">
        <v>42</v>
      </c>
      <c r="B22" s="10">
        <v>435.96089399999573</v>
      </c>
      <c r="C22" s="10">
        <v>-616.09659700000157</v>
      </c>
      <c r="D22" s="10">
        <v>-615.20231200000012</v>
      </c>
      <c r="E22" s="10">
        <v>6768.7153649999946</v>
      </c>
      <c r="F22" s="10">
        <v>6175.0071279999956</v>
      </c>
      <c r="G22" s="10"/>
      <c r="H22" s="298"/>
      <c r="I22" s="298"/>
      <c r="J22" s="298"/>
      <c r="K22" s="298"/>
      <c r="L22" s="298"/>
      <c r="M22" s="298"/>
      <c r="N22" s="10">
        <f>SUM(B22:M22)</f>
        <v>12148.384477999985</v>
      </c>
    </row>
    <row r="23" spans="1:29" x14ac:dyDescent="0.25">
      <c r="A23" s="5" t="s">
        <v>96</v>
      </c>
      <c r="B23" s="10">
        <f>B22</f>
        <v>435.96089399999573</v>
      </c>
      <c r="C23" s="10">
        <f>SUM($B$22:C$22)</f>
        <v>-180.13570300000583</v>
      </c>
      <c r="D23" s="10">
        <f>SUM($B$22:D$22)</f>
        <v>-795.33801500000595</v>
      </c>
      <c r="E23" s="10">
        <f>SUM($B$22:E$22)</f>
        <v>5973.3773499999888</v>
      </c>
      <c r="F23" s="10">
        <f>SUM($B$22:F$22)</f>
        <v>12148.384477999985</v>
      </c>
      <c r="G23" s="10">
        <f>SUM($B$22:G$22)</f>
        <v>12148.384477999985</v>
      </c>
      <c r="H23" s="10">
        <f>SUM($B$22:H$22)</f>
        <v>12148.384477999985</v>
      </c>
      <c r="I23" s="10">
        <f>SUM($B$22:I$22)</f>
        <v>12148.384477999985</v>
      </c>
      <c r="J23" s="10">
        <f>SUM($B$22:J$22)</f>
        <v>12148.384477999985</v>
      </c>
      <c r="K23" s="10">
        <f>SUM($B$22:K$22)</f>
        <v>12148.384477999985</v>
      </c>
      <c r="L23" s="10">
        <f>SUM($B$22:L$22)</f>
        <v>12148.384477999985</v>
      </c>
      <c r="M23" s="10">
        <f>SUM($B$22:M$22)</f>
        <v>12148.384477999985</v>
      </c>
      <c r="N23" s="10"/>
    </row>
    <row r="24" spans="1:29" x14ac:dyDescent="0.25">
      <c r="A24" s="5" t="s">
        <v>43</v>
      </c>
      <c r="B24" s="4">
        <f>B22/B21</f>
        <v>-1.153335698412687</v>
      </c>
      <c r="C24" s="4">
        <f t="shared" ref="C24" si="13">C22/C21</f>
        <v>1.861319024169189</v>
      </c>
      <c r="D24" s="4">
        <f t="shared" ref="D24" si="14">D22/D21</f>
        <v>0.99547299676375423</v>
      </c>
      <c r="E24" s="4">
        <f t="shared" ref="E24" si="15">E22/E21</f>
        <v>6.1758351870437904</v>
      </c>
      <c r="F24" s="4">
        <f t="shared" ref="F24" si="16">F22/F21</f>
        <v>1.9880898673535079</v>
      </c>
      <c r="G24" s="4">
        <f t="shared" ref="G24" si="17">G22/G21</f>
        <v>0</v>
      </c>
      <c r="H24" s="4">
        <f t="shared" ref="H24" si="18">H22/H21</f>
        <v>0</v>
      </c>
      <c r="I24" s="4">
        <f t="shared" ref="I24" si="19">I22/I21</f>
        <v>0</v>
      </c>
      <c r="J24" s="4">
        <f t="shared" ref="J24" si="20">J22/J21</f>
        <v>0</v>
      </c>
      <c r="K24" s="4">
        <f t="shared" ref="K24" si="21">K22/K21</f>
        <v>0</v>
      </c>
      <c r="L24" s="4">
        <f t="shared" ref="L24" si="22">L22/L21</f>
        <v>0</v>
      </c>
      <c r="M24" s="4">
        <f t="shared" ref="M24" si="23">M22/M21</f>
        <v>0</v>
      </c>
      <c r="N24" s="4">
        <f t="shared" ref="N24" si="24">N22/N21</f>
        <v>0.63794488673003125</v>
      </c>
    </row>
    <row r="25" spans="1:29" x14ac:dyDescent="0.25">
      <c r="A25" s="5" t="s">
        <v>44</v>
      </c>
      <c r="B25" s="4">
        <f>SUM($B$22:B$22)/SUM($B$21:B$21)</f>
        <v>-1.153335698412687</v>
      </c>
      <c r="C25" s="4">
        <f>SUM($B$22:C$22)/SUM($B$21:C$21)</f>
        <v>0.25407010296192645</v>
      </c>
      <c r="D25" s="4">
        <f>SUM($B$22:D$22)/SUM($B$21:D$21)</f>
        <v>0.59935042577242348</v>
      </c>
      <c r="E25" s="4">
        <f>SUM($B$22:E$22)/SUM($B$21:E$21)</f>
        <v>-25.85877640692636</v>
      </c>
      <c r="F25" s="4">
        <f>SUM($B$22:F$22)/SUM($B$21:F$21)</f>
        <v>4.2255250358260819</v>
      </c>
      <c r="G25" s="4">
        <f>SUM($B$22:G$22)/SUM($B$21:G$21)</f>
        <v>2.9414974523002386</v>
      </c>
      <c r="H25" s="4">
        <f>SUM($B$22:H$22)/SUM($B$21:H$21)</f>
        <v>2.1372949468683999</v>
      </c>
      <c r="I25" s="4">
        <f>SUM($B$22:I$22)/SUM($B$21:I$21)</f>
        <v>1.7320194579412582</v>
      </c>
      <c r="J25" s="4">
        <f>SUM($B$22:J$22)/SUM($B$21:J$21)</f>
        <v>1.2619076013295922</v>
      </c>
      <c r="K25" s="4">
        <f>SUM($B$22:K$22)/SUM($B$21:K$21)</f>
        <v>1.0411711071306124</v>
      </c>
      <c r="L25" s="4">
        <f>SUM($B$22:L$22)/SUM($B$21:L$21)</f>
        <v>0.79562410622830471</v>
      </c>
      <c r="M25" s="4">
        <f>SUM($B$22:M$22)/SUM($B$21:M$21)</f>
        <v>0.63794488673003125</v>
      </c>
      <c r="N25" s="4"/>
    </row>
    <row r="26" spans="1:29" x14ac:dyDescent="0.25">
      <c r="A26" s="323" t="s">
        <v>345</v>
      </c>
    </row>
    <row r="28" spans="1:29" x14ac:dyDescent="0.25">
      <c r="A28" s="6" t="s">
        <v>46</v>
      </c>
    </row>
    <row r="29" spans="1:29" x14ac:dyDescent="0.25">
      <c r="A29" s="5" t="s">
        <v>48</v>
      </c>
      <c r="B29" s="5" t="s">
        <v>29</v>
      </c>
      <c r="C29" s="5" t="s">
        <v>30</v>
      </c>
      <c r="D29" s="5" t="s">
        <v>31</v>
      </c>
      <c r="E29" s="5" t="s">
        <v>32</v>
      </c>
      <c r="F29" s="5" t="s">
        <v>33</v>
      </c>
      <c r="G29" s="5" t="s">
        <v>34</v>
      </c>
      <c r="H29" s="5" t="s">
        <v>35</v>
      </c>
      <c r="I29" s="5" t="s">
        <v>36</v>
      </c>
      <c r="J29" s="5" t="s">
        <v>37</v>
      </c>
      <c r="K29" s="5" t="s">
        <v>38</v>
      </c>
      <c r="L29" s="5" t="s">
        <v>39</v>
      </c>
      <c r="M29" s="5" t="s">
        <v>40</v>
      </c>
      <c r="N29" s="5" t="s">
        <v>95</v>
      </c>
      <c r="P29" s="325" t="s">
        <v>102</v>
      </c>
      <c r="Q29" s="5" t="s">
        <v>29</v>
      </c>
      <c r="R29" s="5" t="s">
        <v>30</v>
      </c>
      <c r="S29" s="5" t="s">
        <v>31</v>
      </c>
      <c r="T29" s="5" t="s">
        <v>32</v>
      </c>
      <c r="U29" s="5" t="s">
        <v>33</v>
      </c>
      <c r="V29" s="5" t="s">
        <v>34</v>
      </c>
      <c r="W29" s="5" t="s">
        <v>35</v>
      </c>
      <c r="X29" s="5" t="s">
        <v>36</v>
      </c>
      <c r="Y29" s="5" t="s">
        <v>37</v>
      </c>
      <c r="Z29" s="5" t="s">
        <v>38</v>
      </c>
      <c r="AA29" s="5" t="s">
        <v>39</v>
      </c>
      <c r="AB29" s="5" t="s">
        <v>40</v>
      </c>
      <c r="AC29" s="5" t="s">
        <v>95</v>
      </c>
    </row>
    <row r="30" spans="1:29" x14ac:dyDescent="0.25">
      <c r="A30" s="5" t="s">
        <v>41</v>
      </c>
      <c r="B30" s="9">
        <v>7.4999999999999997E-2</v>
      </c>
      <c r="C30" s="9">
        <v>7.4999999999999997E-2</v>
      </c>
      <c r="D30" s="9">
        <v>7.4999999999999997E-2</v>
      </c>
      <c r="E30" s="9">
        <v>7.4999999999999997E-2</v>
      </c>
      <c r="F30" s="9">
        <v>7.4999999999999997E-2</v>
      </c>
      <c r="G30" s="9">
        <v>7.4999999999999997E-2</v>
      </c>
      <c r="H30" s="9">
        <v>7.4999999999999997E-2</v>
      </c>
      <c r="I30" s="9">
        <v>7.4999999999999997E-2</v>
      </c>
      <c r="J30" s="9">
        <v>7.4999999999999997E-2</v>
      </c>
      <c r="K30" s="9">
        <v>7.4999999999999997E-2</v>
      </c>
      <c r="L30" s="9">
        <v>7.4999999999999997E-2</v>
      </c>
      <c r="M30" s="9">
        <v>7.4999999999999997E-2</v>
      </c>
      <c r="N30" s="9">
        <f>AVERAGE(B30:M30)</f>
        <v>7.4999999999999983E-2</v>
      </c>
      <c r="P30" t="s">
        <v>340</v>
      </c>
      <c r="Q30" s="330">
        <f>'DB SLS &amp; MKT'!B40</f>
        <v>5.5E-2</v>
      </c>
      <c r="R30" s="330">
        <f>'DB SLS &amp; MKT'!C40</f>
        <v>0.03</v>
      </c>
      <c r="S30" s="330">
        <f>'DB SLS &amp; MKT'!D40</f>
        <v>5.4999999999999993E-2</v>
      </c>
      <c r="T30" s="330">
        <f>'DB SLS &amp; MKT'!E40</f>
        <v>5.2499999999999998E-2</v>
      </c>
      <c r="U30" s="330">
        <f>'DB SLS &amp; MKT'!F40</f>
        <v>5.5E-2</v>
      </c>
      <c r="V30" s="330">
        <f>'DB SLS &amp; MKT'!G40</f>
        <v>5.5000000000000007E-2</v>
      </c>
      <c r="W30" s="330">
        <f>'DB SLS &amp; MKT'!H40</f>
        <v>6.7500000000000004E-2</v>
      </c>
      <c r="X30" s="330">
        <f>'DB SLS &amp; MKT'!I40</f>
        <v>0.04</v>
      </c>
      <c r="Y30" s="330">
        <f>'DB SLS &amp; MKT'!J40</f>
        <v>4.2499999999999996E-2</v>
      </c>
      <c r="Z30" s="330">
        <f>'DB SLS &amp; MKT'!K40</f>
        <v>3.7499999999999999E-2</v>
      </c>
      <c r="AA30" s="330">
        <f>'DB SLS &amp; MKT'!L40</f>
        <v>4.4999999999999998E-2</v>
      </c>
      <c r="AB30" s="330">
        <f>'DB SLS &amp; MKT'!M40</f>
        <v>3.3750000000000002E-2</v>
      </c>
      <c r="AC30" s="330">
        <f>'DB SLS &amp; MKT'!N40</f>
        <v>4.7395833333333325E-2</v>
      </c>
    </row>
    <row r="31" spans="1:29" x14ac:dyDescent="0.25">
      <c r="A31" s="5" t="s">
        <v>42</v>
      </c>
      <c r="B31" s="9">
        <v>6.6175579564349163E-2</v>
      </c>
      <c r="C31" s="9">
        <v>7.3111017463071221E-2</v>
      </c>
      <c r="D31" s="9">
        <v>8.9979128353835355E-2</v>
      </c>
      <c r="E31" s="9">
        <v>8.4081061125376402E-2</v>
      </c>
      <c r="F31" s="9">
        <v>6.1880945751004009E-2</v>
      </c>
      <c r="G31" s="9"/>
      <c r="H31" s="9"/>
      <c r="I31" s="9"/>
      <c r="J31" s="9"/>
      <c r="K31" s="9"/>
      <c r="L31" s="9"/>
      <c r="M31" s="9"/>
      <c r="N31" s="9">
        <f t="shared" ref="N31" si="25">AC32</f>
        <v>4.4947916666666664E-2</v>
      </c>
      <c r="P31" t="s">
        <v>341</v>
      </c>
      <c r="Q31" s="330">
        <f>'DB BusDev'!B31</f>
        <v>3.5000000000000003E-2</v>
      </c>
      <c r="R31" s="330">
        <f>'DB BusDev'!C31</f>
        <v>3.5000000000000003E-2</v>
      </c>
      <c r="S31" s="330">
        <f>'DB BusDev'!D31</f>
        <v>0.06</v>
      </c>
      <c r="T31" s="330">
        <f>'DB BusDev'!E31</f>
        <v>0.04</v>
      </c>
      <c r="U31" s="330">
        <f>'DB BusDev'!F31</f>
        <v>0.04</v>
      </c>
      <c r="V31" s="330">
        <f>'DB BusDev'!G31</f>
        <v>4.7500000000000001E-2</v>
      </c>
      <c r="W31" s="330">
        <f>'DB BusDev'!H31</f>
        <v>0.02</v>
      </c>
      <c r="X31" s="330">
        <f>'DB BusDev'!I31</f>
        <v>4.5000000000000005E-2</v>
      </c>
      <c r="Y31" s="330">
        <f>'DB BusDev'!J31</f>
        <v>3.0000000000000002E-2</v>
      </c>
      <c r="Z31" s="330">
        <f>'DB BusDev'!K31</f>
        <v>5.5E-2</v>
      </c>
      <c r="AA31" s="330">
        <f>'DB BusDev'!L31</f>
        <v>4.4999999999999998E-2</v>
      </c>
      <c r="AB31" s="330">
        <f>'DB BusDev'!M31</f>
        <v>5.7499999999999996E-2</v>
      </c>
      <c r="AC31" s="330">
        <f>'DB BusDev'!N31</f>
        <v>4.2500000000000003E-2</v>
      </c>
    </row>
    <row r="32" spans="1:29" x14ac:dyDescent="0.25">
      <c r="A32" s="5" t="s">
        <v>43</v>
      </c>
      <c r="B32" s="4">
        <f t="shared" ref="B32:N32" si="26">((B30-B31)/B30)+1</f>
        <v>1.1176589391420111</v>
      </c>
      <c r="C32" s="4">
        <f t="shared" si="26"/>
        <v>1.0251864338257171</v>
      </c>
      <c r="D32" s="4">
        <f t="shared" si="26"/>
        <v>0.80027828861552852</v>
      </c>
      <c r="E32" s="4">
        <f t="shared" si="26"/>
        <v>0.87891918499498123</v>
      </c>
      <c r="F32" s="4">
        <f t="shared" si="26"/>
        <v>1.1749207233199466</v>
      </c>
      <c r="G32" s="4">
        <f t="shared" si="26"/>
        <v>2</v>
      </c>
      <c r="H32" s="4">
        <f t="shared" si="26"/>
        <v>2</v>
      </c>
      <c r="I32" s="4">
        <f t="shared" si="26"/>
        <v>2</v>
      </c>
      <c r="J32" s="4">
        <f t="shared" si="26"/>
        <v>2</v>
      </c>
      <c r="K32" s="4">
        <f t="shared" si="26"/>
        <v>2</v>
      </c>
      <c r="L32" s="4">
        <f t="shared" si="26"/>
        <v>2</v>
      </c>
      <c r="M32" s="4">
        <f t="shared" si="26"/>
        <v>2</v>
      </c>
      <c r="N32" s="4">
        <f t="shared" si="26"/>
        <v>1.4006944444444445</v>
      </c>
      <c r="P32" t="s">
        <v>343</v>
      </c>
      <c r="Q32" s="330">
        <f>AVERAGE(Q30:Q31)</f>
        <v>4.4999999999999998E-2</v>
      </c>
      <c r="R32" s="330">
        <f t="shared" ref="R32:AC32" si="27">AVERAGE(R30:R31)</f>
        <v>3.2500000000000001E-2</v>
      </c>
      <c r="S32" s="330">
        <f t="shared" si="27"/>
        <v>5.7499999999999996E-2</v>
      </c>
      <c r="T32" s="330">
        <f t="shared" si="27"/>
        <v>4.6249999999999999E-2</v>
      </c>
      <c r="U32" s="330">
        <f t="shared" si="27"/>
        <v>4.7500000000000001E-2</v>
      </c>
      <c r="V32" s="330">
        <f t="shared" si="27"/>
        <v>5.1250000000000004E-2</v>
      </c>
      <c r="W32" s="330">
        <f t="shared" si="27"/>
        <v>4.3750000000000004E-2</v>
      </c>
      <c r="X32" s="330">
        <f t="shared" si="27"/>
        <v>4.2500000000000003E-2</v>
      </c>
      <c r="Y32" s="330">
        <f t="shared" si="27"/>
        <v>3.6249999999999998E-2</v>
      </c>
      <c r="Z32" s="330">
        <f t="shared" si="27"/>
        <v>4.6249999999999999E-2</v>
      </c>
      <c r="AA32" s="330">
        <f t="shared" si="27"/>
        <v>4.4999999999999998E-2</v>
      </c>
      <c r="AB32" s="330">
        <f t="shared" si="27"/>
        <v>4.5624999999999999E-2</v>
      </c>
      <c r="AC32" s="330">
        <f t="shared" si="27"/>
        <v>4.4947916666666664E-2</v>
      </c>
    </row>
    <row r="33" spans="1:29" x14ac:dyDescent="0.25">
      <c r="A33" s="5" t="s">
        <v>44</v>
      </c>
      <c r="B33" s="4">
        <f>B30/B31</f>
        <v>1.1333485931478691</v>
      </c>
      <c r="C33" s="4">
        <f t="shared" ref="C33:M33" si="28">C30/C31</f>
        <v>1.0258371802564903</v>
      </c>
      <c r="D33" s="4">
        <f t="shared" si="28"/>
        <v>0.83352663414418515</v>
      </c>
      <c r="E33" s="4">
        <f t="shared" si="28"/>
        <v>0.89199635442474623</v>
      </c>
      <c r="F33" s="4">
        <f t="shared" si="28"/>
        <v>1.2120047470150881</v>
      </c>
      <c r="G33" s="4" t="e">
        <f t="shared" si="28"/>
        <v>#DIV/0!</v>
      </c>
      <c r="H33" s="4" t="e">
        <f t="shared" si="28"/>
        <v>#DIV/0!</v>
      </c>
      <c r="I33" s="4" t="e">
        <f t="shared" si="28"/>
        <v>#DIV/0!</v>
      </c>
      <c r="J33" s="4" t="e">
        <f t="shared" si="28"/>
        <v>#DIV/0!</v>
      </c>
      <c r="K33" s="4" t="e">
        <f t="shared" si="28"/>
        <v>#DIV/0!</v>
      </c>
      <c r="L33" s="4" t="e">
        <f t="shared" si="28"/>
        <v>#DIV/0!</v>
      </c>
      <c r="M33" s="4" t="e">
        <f t="shared" si="28"/>
        <v>#DIV/0!</v>
      </c>
      <c r="N33" s="4"/>
    </row>
    <row r="34" spans="1:29" x14ac:dyDescent="0.25">
      <c r="A34" s="303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</row>
    <row r="36" spans="1:29" x14ac:dyDescent="0.25">
      <c r="A36" s="6" t="s">
        <v>337</v>
      </c>
    </row>
    <row r="37" spans="1:29" x14ac:dyDescent="0.25">
      <c r="A37" s="5" t="s">
        <v>215</v>
      </c>
      <c r="B37" s="5" t="s">
        <v>29</v>
      </c>
      <c r="C37" s="5" t="s">
        <v>30</v>
      </c>
      <c r="D37" s="5" t="s">
        <v>31</v>
      </c>
      <c r="E37" s="5" t="s">
        <v>32</v>
      </c>
      <c r="F37" s="5" t="s">
        <v>33</v>
      </c>
      <c r="G37" s="5" t="s">
        <v>34</v>
      </c>
      <c r="H37" s="5" t="s">
        <v>35</v>
      </c>
      <c r="I37" s="5" t="s">
        <v>36</v>
      </c>
      <c r="J37" s="5" t="s">
        <v>37</v>
      </c>
      <c r="K37" s="5" t="s">
        <v>38</v>
      </c>
      <c r="L37" s="5" t="s">
        <v>39</v>
      </c>
      <c r="M37" s="5" t="s">
        <v>40</v>
      </c>
      <c r="N37" s="5" t="s">
        <v>95</v>
      </c>
      <c r="P37" s="325" t="s">
        <v>102</v>
      </c>
      <c r="Q37" s="5" t="s">
        <v>29</v>
      </c>
      <c r="R37" s="5" t="s">
        <v>30</v>
      </c>
      <c r="S37" s="5" t="s">
        <v>31</v>
      </c>
      <c r="T37" s="5" t="s">
        <v>32</v>
      </c>
      <c r="U37" s="5" t="s">
        <v>33</v>
      </c>
      <c r="V37" s="5" t="s">
        <v>34</v>
      </c>
      <c r="W37" s="5" t="s">
        <v>35</v>
      </c>
      <c r="X37" s="5" t="s">
        <v>36</v>
      </c>
      <c r="Y37" s="5" t="s">
        <v>37</v>
      </c>
      <c r="Z37" s="5" t="s">
        <v>38</v>
      </c>
      <c r="AA37" s="5" t="s">
        <v>39</v>
      </c>
      <c r="AB37" s="5" t="s">
        <v>40</v>
      </c>
      <c r="AC37" s="5" t="s">
        <v>95</v>
      </c>
    </row>
    <row r="38" spans="1:29" x14ac:dyDescent="0.25">
      <c r="A38" s="5" t="s">
        <v>41</v>
      </c>
      <c r="B38" s="4">
        <v>0.95</v>
      </c>
      <c r="C38" s="4">
        <v>0.95</v>
      </c>
      <c r="D38" s="4">
        <v>0.95</v>
      </c>
      <c r="E38" s="4">
        <v>0.95</v>
      </c>
      <c r="F38" s="4">
        <v>0.95</v>
      </c>
      <c r="G38" s="4">
        <v>0.95</v>
      </c>
      <c r="H38" s="4">
        <v>0.95</v>
      </c>
      <c r="I38" s="4">
        <v>0.95</v>
      </c>
      <c r="J38" s="4">
        <v>0.95</v>
      </c>
      <c r="K38" s="4">
        <v>0.95</v>
      </c>
      <c r="L38" s="4">
        <v>0.95</v>
      </c>
      <c r="M38" s="4">
        <v>0.95</v>
      </c>
      <c r="N38" s="4">
        <f>AVERAGE(B38:M38)</f>
        <v>0.94999999999999984</v>
      </c>
      <c r="P38" t="s">
        <v>339</v>
      </c>
      <c r="Q38" s="329">
        <f>'DB Dir Adm'!B22</f>
        <v>0.9</v>
      </c>
      <c r="R38" s="329">
        <f>'DB Dir Adm'!C22</f>
        <v>0.9</v>
      </c>
      <c r="S38" s="329">
        <f>'DB Dir Adm'!D22</f>
        <v>0.88000000000000012</v>
      </c>
      <c r="T38" s="329">
        <f>'DB Dir Adm'!E22</f>
        <v>0.9</v>
      </c>
      <c r="U38" s="329">
        <f>'DB Dir Adm'!F22</f>
        <v>0.9</v>
      </c>
      <c r="V38" s="329">
        <f>'DB Dir Adm'!G22</f>
        <v>0.9</v>
      </c>
      <c r="W38" s="329">
        <f>'DB Dir Adm'!H22</f>
        <v>0.9</v>
      </c>
      <c r="X38" s="329">
        <f>'DB Dir Adm'!I22</f>
        <v>0.9</v>
      </c>
      <c r="Y38" s="329">
        <f>'DB Dir Adm'!J22</f>
        <v>0.9</v>
      </c>
      <c r="Z38" s="329">
        <f>'DB Dir Adm'!K22</f>
        <v>0.9</v>
      </c>
      <c r="AA38" s="329">
        <f>'DB Dir Adm'!L22</f>
        <v>0.9</v>
      </c>
      <c r="AB38" s="329">
        <f>'DB Dir Adm'!M22</f>
        <v>0.9</v>
      </c>
      <c r="AC38" s="329">
        <f>'DB Dir Adm'!N22</f>
        <v>0.89833333333333354</v>
      </c>
    </row>
    <row r="39" spans="1:29" x14ac:dyDescent="0.25">
      <c r="A39" s="5" t="s">
        <v>42</v>
      </c>
      <c r="B39" s="4">
        <v>0.87865198309107195</v>
      </c>
      <c r="C39" s="4">
        <v>0.87157189995697215</v>
      </c>
      <c r="D39" s="4">
        <v>0.90621556907342848</v>
      </c>
      <c r="E39" s="4">
        <v>0.86613160132203959</v>
      </c>
      <c r="F39" s="4">
        <v>1.0283337388872653</v>
      </c>
      <c r="G39" s="4"/>
      <c r="H39" s="4"/>
      <c r="I39" s="4"/>
      <c r="J39" s="4"/>
      <c r="K39" s="4"/>
      <c r="L39" s="4"/>
      <c r="M39" s="4"/>
      <c r="N39" s="4">
        <f>AVERAGE(B39:M39)</f>
        <v>0.91018095846615543</v>
      </c>
      <c r="P39" t="s">
        <v>340</v>
      </c>
      <c r="Q39" s="329">
        <f>'DB SLS &amp; MKT'!B48</f>
        <v>0.95</v>
      </c>
      <c r="R39" s="329">
        <f>'DB SLS &amp; MKT'!C48</f>
        <v>0.95</v>
      </c>
      <c r="S39" s="329">
        <f>'DB SLS &amp; MKT'!D48</f>
        <v>0.95</v>
      </c>
      <c r="T39" s="329">
        <f>'DB SLS &amp; MKT'!E48</f>
        <v>0.95</v>
      </c>
      <c r="U39" s="329">
        <f>'DB SLS &amp; MKT'!F48</f>
        <v>0.95</v>
      </c>
      <c r="V39" s="329">
        <f>'DB SLS &amp; MKT'!G48</f>
        <v>0.95</v>
      </c>
      <c r="W39" s="329">
        <f>'DB SLS &amp; MKT'!H48</f>
        <v>0.95</v>
      </c>
      <c r="X39" s="329">
        <f>'DB SLS &amp; MKT'!I48</f>
        <v>0.95</v>
      </c>
      <c r="Y39" s="329">
        <f>'DB SLS &amp; MKT'!J48</f>
        <v>0.95</v>
      </c>
      <c r="Z39" s="329">
        <f>'DB SLS &amp; MKT'!K48</f>
        <v>0.95</v>
      </c>
      <c r="AA39" s="329">
        <f>'DB SLS &amp; MKT'!L48</f>
        <v>0.95</v>
      </c>
      <c r="AB39" s="329">
        <f>'DB SLS &amp; MKT'!M48</f>
        <v>0.95</v>
      </c>
      <c r="AC39" s="329">
        <f>'DB SLS &amp; MKT'!N48</f>
        <v>0.94999999999999984</v>
      </c>
    </row>
    <row r="40" spans="1:29" x14ac:dyDescent="0.25">
      <c r="A40" s="5" t="s">
        <v>338</v>
      </c>
      <c r="B40" s="4">
        <f>B38/B39</f>
        <v>1.0812016797116053</v>
      </c>
      <c r="C40" s="4">
        <f t="shared" ref="C40:M40" si="29">C38/C39</f>
        <v>1.0899846588065765</v>
      </c>
      <c r="D40" s="4">
        <f t="shared" si="29"/>
        <v>1.0483156904613098</v>
      </c>
      <c r="E40" s="4">
        <f t="shared" si="29"/>
        <v>1.0968310110726198</v>
      </c>
      <c r="F40" s="4">
        <f t="shared" si="29"/>
        <v>0.92382459514356852</v>
      </c>
      <c r="G40" s="4" t="e">
        <f t="shared" si="29"/>
        <v>#DIV/0!</v>
      </c>
      <c r="H40" s="4" t="e">
        <f t="shared" si="29"/>
        <v>#DIV/0!</v>
      </c>
      <c r="I40" s="4" t="e">
        <f t="shared" si="29"/>
        <v>#DIV/0!</v>
      </c>
      <c r="J40" s="4" t="e">
        <f t="shared" si="29"/>
        <v>#DIV/0!</v>
      </c>
      <c r="K40" s="4" t="e">
        <f t="shared" si="29"/>
        <v>#DIV/0!</v>
      </c>
      <c r="L40" s="4" t="e">
        <f t="shared" si="29"/>
        <v>#DIV/0!</v>
      </c>
      <c r="M40" s="4" t="e">
        <f t="shared" si="29"/>
        <v>#DIV/0!</v>
      </c>
      <c r="N40" s="4"/>
      <c r="P40" t="s">
        <v>341</v>
      </c>
      <c r="Q40" s="329">
        <f>'DB BusDev'!B39</f>
        <v>0.95</v>
      </c>
      <c r="R40" s="329">
        <f>'DB BusDev'!C39</f>
        <v>0.95</v>
      </c>
      <c r="S40" s="329">
        <f>'DB BusDev'!D39</f>
        <v>0.95</v>
      </c>
      <c r="T40" s="329">
        <f>'DB BusDev'!E39</f>
        <v>0.95</v>
      </c>
      <c r="U40" s="329">
        <f>'DB BusDev'!F39</f>
        <v>0.95</v>
      </c>
      <c r="V40" s="329">
        <f>'DB BusDev'!G39</f>
        <v>0.95</v>
      </c>
      <c r="W40" s="329">
        <f>'DB BusDev'!H39</f>
        <v>0.95</v>
      </c>
      <c r="X40" s="329">
        <f>'DB BusDev'!I39</f>
        <v>0.95</v>
      </c>
      <c r="Y40" s="329">
        <f>'DB BusDev'!J39</f>
        <v>0.95</v>
      </c>
      <c r="Z40" s="329">
        <f>'DB BusDev'!K39</f>
        <v>0.95</v>
      </c>
      <c r="AA40" s="329">
        <f>'DB BusDev'!L39</f>
        <v>0.95</v>
      </c>
      <c r="AB40" s="329">
        <f>'DB BusDev'!M39</f>
        <v>0.95</v>
      </c>
      <c r="AC40" s="329">
        <f>'DB BusDev'!N39</f>
        <v>0.94999999999999984</v>
      </c>
    </row>
    <row r="41" spans="1:29" x14ac:dyDescent="0.25">
      <c r="P41" t="s">
        <v>342</v>
      </c>
      <c r="Q41" s="329">
        <f>'DB Dir Prod'!B22</f>
        <v>0.95</v>
      </c>
      <c r="R41" s="329">
        <f>'DB Dir Prod'!C22</f>
        <v>0.95</v>
      </c>
      <c r="S41" s="329">
        <f>'DB Dir Prod'!D22</f>
        <v>0.95</v>
      </c>
      <c r="T41" s="329">
        <f>'DB Dir Prod'!E22</f>
        <v>0.95</v>
      </c>
      <c r="U41" s="329">
        <f>'DB Dir Prod'!F22</f>
        <v>0.95</v>
      </c>
      <c r="V41" s="329">
        <f>'DB Dir Prod'!G22</f>
        <v>0.95</v>
      </c>
      <c r="W41" s="329">
        <f>'DB Dir Prod'!H22</f>
        <v>0.95</v>
      </c>
      <c r="X41" s="329">
        <f>'DB Dir Prod'!I22</f>
        <v>0.95</v>
      </c>
      <c r="Y41" s="329">
        <f>'DB Dir Prod'!J22</f>
        <v>0.95</v>
      </c>
      <c r="Z41" s="329">
        <f>'DB Dir Prod'!K22</f>
        <v>0.95</v>
      </c>
      <c r="AA41" s="329">
        <f>'DB Dir Prod'!L22</f>
        <v>0.95</v>
      </c>
      <c r="AB41" s="329">
        <f>'DB Dir Prod'!M22</f>
        <v>0.95</v>
      </c>
      <c r="AC41" s="329">
        <f>'DB Dir Prod'!N22</f>
        <v>0.94999999999999984</v>
      </c>
    </row>
    <row r="42" spans="1:29" x14ac:dyDescent="0.25">
      <c r="P42" t="s">
        <v>343</v>
      </c>
      <c r="Q42" s="329">
        <f>AVERAGE(Q38:Q41)</f>
        <v>0.9375</v>
      </c>
      <c r="R42" s="329">
        <f t="shared" ref="R42:AC42" si="30">AVERAGE(R38:R41)</f>
        <v>0.9375</v>
      </c>
      <c r="S42" s="329">
        <f t="shared" si="30"/>
        <v>0.93250000000000011</v>
      </c>
      <c r="T42" s="329">
        <f t="shared" si="30"/>
        <v>0.9375</v>
      </c>
      <c r="U42" s="329">
        <f t="shared" si="30"/>
        <v>0.9375</v>
      </c>
      <c r="V42" s="329">
        <f t="shared" si="30"/>
        <v>0.9375</v>
      </c>
      <c r="W42" s="329">
        <f t="shared" si="30"/>
        <v>0.9375</v>
      </c>
      <c r="X42" s="329">
        <f t="shared" si="30"/>
        <v>0.9375</v>
      </c>
      <c r="Y42" s="329">
        <f t="shared" si="30"/>
        <v>0.9375</v>
      </c>
      <c r="Z42" s="329">
        <f t="shared" si="30"/>
        <v>0.9375</v>
      </c>
      <c r="AA42" s="329">
        <f t="shared" si="30"/>
        <v>0.9375</v>
      </c>
      <c r="AB42" s="329">
        <f t="shared" si="30"/>
        <v>0.9375</v>
      </c>
      <c r="AC42" s="329">
        <f t="shared" si="30"/>
        <v>0.93708333333333327</v>
      </c>
    </row>
    <row r="43" spans="1:29" x14ac:dyDescent="0.25">
      <c r="A43" s="6" t="s">
        <v>46</v>
      </c>
    </row>
    <row r="44" spans="1:29" x14ac:dyDescent="0.25">
      <c r="A44" s="5" t="s">
        <v>49</v>
      </c>
      <c r="B44" s="5" t="s">
        <v>29</v>
      </c>
      <c r="C44" s="5" t="s">
        <v>30</v>
      </c>
      <c r="D44" s="5" t="s">
        <v>31</v>
      </c>
      <c r="E44" s="5" t="s">
        <v>32</v>
      </c>
      <c r="F44" s="5" t="s">
        <v>33</v>
      </c>
      <c r="G44" s="5" t="s">
        <v>34</v>
      </c>
      <c r="H44" s="5" t="s">
        <v>35</v>
      </c>
      <c r="I44" s="5" t="s">
        <v>36</v>
      </c>
      <c r="J44" s="5" t="s">
        <v>37</v>
      </c>
      <c r="K44" s="5" t="s">
        <v>38</v>
      </c>
      <c r="L44" s="5" t="s">
        <v>39</v>
      </c>
      <c r="M44" s="5" t="s">
        <v>40</v>
      </c>
      <c r="N44" s="5" t="s">
        <v>95</v>
      </c>
      <c r="P44" s="325" t="s">
        <v>102</v>
      </c>
      <c r="Q44" s="5" t="s">
        <v>29</v>
      </c>
      <c r="R44" s="5" t="s">
        <v>30</v>
      </c>
      <c r="S44" s="5" t="s">
        <v>31</v>
      </c>
      <c r="T44" s="5" t="s">
        <v>32</v>
      </c>
      <c r="U44" s="5" t="s">
        <v>33</v>
      </c>
      <c r="V44" s="5" t="s">
        <v>34</v>
      </c>
      <c r="W44" s="5" t="s">
        <v>35</v>
      </c>
      <c r="X44" s="5" t="s">
        <v>36</v>
      </c>
      <c r="Y44" s="5" t="s">
        <v>37</v>
      </c>
      <c r="Z44" s="5" t="s">
        <v>38</v>
      </c>
      <c r="AA44" s="5" t="s">
        <v>39</v>
      </c>
      <c r="AB44" s="5" t="s">
        <v>40</v>
      </c>
      <c r="AC44" s="5" t="s">
        <v>95</v>
      </c>
    </row>
    <row r="45" spans="1:29" x14ac:dyDescent="0.25">
      <c r="A45" s="5" t="s">
        <v>41</v>
      </c>
      <c r="B45" s="9">
        <v>1.2E-2</v>
      </c>
      <c r="C45" s="9">
        <v>1.2E-2</v>
      </c>
      <c r="D45" s="9">
        <v>1.2E-2</v>
      </c>
      <c r="E45" s="9">
        <v>1.2E-2</v>
      </c>
      <c r="F45" s="9">
        <v>1.2E-2</v>
      </c>
      <c r="G45" s="9">
        <v>1.2E-2</v>
      </c>
      <c r="H45" s="9">
        <v>1.2E-2</v>
      </c>
      <c r="I45" s="9">
        <v>1.2E-2</v>
      </c>
      <c r="J45" s="9">
        <v>1.2E-2</v>
      </c>
      <c r="K45" s="9">
        <v>1.2E-2</v>
      </c>
      <c r="L45" s="9">
        <v>1.2E-2</v>
      </c>
      <c r="M45" s="9">
        <v>1.2E-2</v>
      </c>
      <c r="N45" s="9">
        <f>AVERAGE(B45:M45)</f>
        <v>1.1999999999999999E-2</v>
      </c>
      <c r="P45" t="s">
        <v>340</v>
      </c>
      <c r="Q45" s="331">
        <f>'DB SLS &amp; MKT'!B56</f>
        <v>1.2E-2</v>
      </c>
      <c r="R45" s="331">
        <f>'DB SLS &amp; MKT'!C56</f>
        <v>1.0999999999999999E-2</v>
      </c>
      <c r="S45" s="331">
        <f>'DB SLS &amp; MKT'!D56</f>
        <v>1.2999999999999999E-2</v>
      </c>
      <c r="T45" s="331">
        <f>'DB SLS &amp; MKT'!E56</f>
        <v>0.01</v>
      </c>
      <c r="U45" s="331">
        <f>'DB SLS &amp; MKT'!F56</f>
        <v>8.9999999999999993E-3</v>
      </c>
      <c r="V45" s="331">
        <f>'DB SLS &amp; MKT'!G56</f>
        <v>0.01</v>
      </c>
      <c r="W45" s="331">
        <f>'DB SLS &amp; MKT'!H56</f>
        <v>1.4999999999999999E-2</v>
      </c>
      <c r="X45" s="331">
        <f>'DB SLS &amp; MKT'!I56</f>
        <v>0.01</v>
      </c>
      <c r="Y45" s="331">
        <f>'DB SLS &amp; MKT'!J56</f>
        <v>8.0000000000000002E-3</v>
      </c>
      <c r="Z45" s="331">
        <f>'DB SLS &amp; MKT'!K56</f>
        <v>8.9999999999999993E-3</v>
      </c>
      <c r="AA45" s="331">
        <f>'DB SLS &amp; MKT'!L56</f>
        <v>7.0000000000000001E-3</v>
      </c>
      <c r="AB45" s="331">
        <f>'DB SLS &amp; MKT'!M56</f>
        <v>8.9999999999999993E-3</v>
      </c>
      <c r="AC45" s="331">
        <f>'DB SLS &amp; MKT'!N56</f>
        <v>1.025E-2</v>
      </c>
    </row>
    <row r="46" spans="1:29" x14ac:dyDescent="0.25">
      <c r="A46" s="5" t="s">
        <v>42</v>
      </c>
      <c r="B46" s="9">
        <f>Q47</f>
        <v>1.2E-2</v>
      </c>
      <c r="C46" s="9">
        <f t="shared" ref="C46:M46" si="31">R47</f>
        <v>1.0999999999999999E-2</v>
      </c>
      <c r="D46" s="9">
        <f t="shared" si="31"/>
        <v>1.2999999999999999E-2</v>
      </c>
      <c r="E46" s="9">
        <f t="shared" si="31"/>
        <v>0.01</v>
      </c>
      <c r="F46" s="9">
        <f t="shared" si="31"/>
        <v>8.9999999999999993E-3</v>
      </c>
      <c r="G46" s="9"/>
      <c r="H46" s="9"/>
      <c r="I46" s="9"/>
      <c r="J46" s="9"/>
      <c r="K46" s="9"/>
      <c r="L46" s="9"/>
      <c r="M46" s="9"/>
      <c r="N46" s="9">
        <f>AVERAGE(B46:M46)</f>
        <v>1.0999999999999999E-2</v>
      </c>
      <c r="P46" t="s">
        <v>341</v>
      </c>
      <c r="Q46" s="331">
        <f>'DB BusDev'!B47</f>
        <v>1.2E-2</v>
      </c>
      <c r="R46" s="331">
        <f>'DB BusDev'!C47</f>
        <v>1.0999999999999999E-2</v>
      </c>
      <c r="S46" s="331">
        <f>'DB BusDev'!D47</f>
        <v>1.2999999999999999E-2</v>
      </c>
      <c r="T46" s="331">
        <f>'DB BusDev'!E47</f>
        <v>0.01</v>
      </c>
      <c r="U46" s="331">
        <f>'DB BusDev'!F47</f>
        <v>8.9999999999999993E-3</v>
      </c>
      <c r="V46" s="331">
        <f>'DB BusDev'!G47</f>
        <v>0.01</v>
      </c>
      <c r="W46" s="331">
        <f>'DB BusDev'!H47</f>
        <v>1.4999999999999999E-2</v>
      </c>
      <c r="X46" s="331">
        <f>'DB BusDev'!I47</f>
        <v>0.01</v>
      </c>
      <c r="Y46" s="331">
        <f>'DB BusDev'!J47</f>
        <v>8.0000000000000002E-3</v>
      </c>
      <c r="Z46" s="331">
        <f>'DB BusDev'!K47</f>
        <v>8.9999999999999993E-3</v>
      </c>
      <c r="AA46" s="331">
        <f>'DB BusDev'!L47</f>
        <v>7.0000000000000001E-3</v>
      </c>
      <c r="AB46" s="331">
        <f>'DB BusDev'!M47</f>
        <v>8.9999999999999993E-3</v>
      </c>
      <c r="AC46" s="331">
        <f>'DB BusDev'!N47</f>
        <v>1.025E-2</v>
      </c>
    </row>
    <row r="47" spans="1:29" x14ac:dyDescent="0.25">
      <c r="A47" s="5" t="s">
        <v>96</v>
      </c>
      <c r="B47" s="9">
        <f>B46</f>
        <v>1.2E-2</v>
      </c>
      <c r="C47" s="9">
        <f>SUM($B$46:C$46)</f>
        <v>2.3E-2</v>
      </c>
      <c r="D47" s="9">
        <f>SUM($B$46:D$46)</f>
        <v>3.5999999999999997E-2</v>
      </c>
      <c r="E47" s="9">
        <f>SUM($B$46:E$46)</f>
        <v>4.5999999999999999E-2</v>
      </c>
      <c r="F47" s="9">
        <f>SUM($B$46:F$46)</f>
        <v>5.5E-2</v>
      </c>
      <c r="G47" s="9">
        <f>SUM($B$46:G$46)</f>
        <v>5.5E-2</v>
      </c>
      <c r="H47" s="9">
        <f>SUM($B$46:H$46)</f>
        <v>5.5E-2</v>
      </c>
      <c r="I47" s="9">
        <f>SUM($B$46:I$46)</f>
        <v>5.5E-2</v>
      </c>
      <c r="J47" s="9">
        <f>SUM($B$46:J$46)</f>
        <v>5.5E-2</v>
      </c>
      <c r="K47" s="9">
        <f>SUM($B$46:K$46)</f>
        <v>5.5E-2</v>
      </c>
      <c r="L47" s="9">
        <f>SUM($B$46:L$46)</f>
        <v>5.5E-2</v>
      </c>
      <c r="M47" s="9">
        <f>SUM($B$46:M$46)</f>
        <v>5.5E-2</v>
      </c>
      <c r="N47" s="9"/>
      <c r="P47" t="s">
        <v>343</v>
      </c>
      <c r="Q47" s="331">
        <f t="shared" ref="Q47:AC47" si="32">AVERAGE(Q45:Q46)</f>
        <v>1.2E-2</v>
      </c>
      <c r="R47" s="331">
        <f t="shared" si="32"/>
        <v>1.0999999999999999E-2</v>
      </c>
      <c r="S47" s="331">
        <f t="shared" si="32"/>
        <v>1.2999999999999999E-2</v>
      </c>
      <c r="T47" s="331">
        <f t="shared" si="32"/>
        <v>0.01</v>
      </c>
      <c r="U47" s="331">
        <f t="shared" si="32"/>
        <v>8.9999999999999993E-3</v>
      </c>
      <c r="V47" s="331">
        <f t="shared" si="32"/>
        <v>0.01</v>
      </c>
      <c r="W47" s="331">
        <f t="shared" si="32"/>
        <v>1.4999999999999999E-2</v>
      </c>
      <c r="X47" s="331">
        <f t="shared" si="32"/>
        <v>0.01</v>
      </c>
      <c r="Y47" s="331">
        <f t="shared" si="32"/>
        <v>8.0000000000000002E-3</v>
      </c>
      <c r="Z47" s="331">
        <f t="shared" si="32"/>
        <v>8.9999999999999993E-3</v>
      </c>
      <c r="AA47" s="331">
        <f t="shared" si="32"/>
        <v>7.0000000000000001E-3</v>
      </c>
      <c r="AB47" s="331">
        <f t="shared" si="32"/>
        <v>8.9999999999999993E-3</v>
      </c>
      <c r="AC47" s="331">
        <f t="shared" si="32"/>
        <v>1.025E-2</v>
      </c>
    </row>
    <row r="48" spans="1:29" x14ac:dyDescent="0.25">
      <c r="A48" s="5" t="s">
        <v>43</v>
      </c>
      <c r="B48" s="4">
        <f>B45/B46</f>
        <v>1</v>
      </c>
      <c r="C48" s="4">
        <f t="shared" ref="C48:N48" si="33">C45/C46</f>
        <v>1.0909090909090911</v>
      </c>
      <c r="D48" s="4">
        <f t="shared" si="33"/>
        <v>0.92307692307692313</v>
      </c>
      <c r="E48" s="4">
        <f t="shared" si="33"/>
        <v>1.2</v>
      </c>
      <c r="F48" s="4">
        <f t="shared" si="33"/>
        <v>1.3333333333333335</v>
      </c>
      <c r="G48" s="4" t="e">
        <f t="shared" si="33"/>
        <v>#DIV/0!</v>
      </c>
      <c r="H48" s="4" t="e">
        <f t="shared" si="33"/>
        <v>#DIV/0!</v>
      </c>
      <c r="I48" s="4" t="e">
        <f t="shared" si="33"/>
        <v>#DIV/0!</v>
      </c>
      <c r="J48" s="4" t="e">
        <f t="shared" si="33"/>
        <v>#DIV/0!</v>
      </c>
      <c r="K48" s="4" t="e">
        <f t="shared" si="33"/>
        <v>#DIV/0!</v>
      </c>
      <c r="L48" s="4" t="e">
        <f t="shared" si="33"/>
        <v>#DIV/0!</v>
      </c>
      <c r="M48" s="4" t="e">
        <f t="shared" si="33"/>
        <v>#DIV/0!</v>
      </c>
      <c r="N48" s="4">
        <f t="shared" si="33"/>
        <v>1.0909090909090908</v>
      </c>
    </row>
    <row r="49" spans="1:14" x14ac:dyDescent="0.25">
      <c r="A49" s="323" t="s">
        <v>346</v>
      </c>
    </row>
    <row r="51" spans="1:14" x14ac:dyDescent="0.25">
      <c r="A51" s="6" t="s">
        <v>50</v>
      </c>
    </row>
    <row r="52" spans="1:14" x14ac:dyDescent="0.25">
      <c r="A52" s="5" t="s">
        <v>287</v>
      </c>
      <c r="B52" s="5" t="s">
        <v>29</v>
      </c>
      <c r="C52" s="5" t="s">
        <v>30</v>
      </c>
      <c r="D52" s="5" t="s">
        <v>31</v>
      </c>
      <c r="E52" s="5" t="s">
        <v>32</v>
      </c>
      <c r="F52" s="5" t="s">
        <v>33</v>
      </c>
      <c r="G52" s="5" t="s">
        <v>34</v>
      </c>
      <c r="H52" s="5" t="s">
        <v>35</v>
      </c>
      <c r="I52" s="5" t="s">
        <v>36</v>
      </c>
      <c r="J52" s="5" t="s">
        <v>37</v>
      </c>
      <c r="K52" s="5" t="s">
        <v>38</v>
      </c>
      <c r="L52" s="5" t="s">
        <v>39</v>
      </c>
      <c r="M52" s="5" t="s">
        <v>40</v>
      </c>
      <c r="N52" s="5" t="s">
        <v>95</v>
      </c>
    </row>
    <row r="53" spans="1:14" x14ac:dyDescent="0.25">
      <c r="A53" s="5" t="s">
        <v>41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298">
        <f>SUM(B53:M53)</f>
        <v>0</v>
      </c>
    </row>
    <row r="54" spans="1:14" x14ac:dyDescent="0.25">
      <c r="A54" s="5" t="s">
        <v>42</v>
      </c>
      <c r="B54" s="3">
        <f>'DB Dir Prod'!B30</f>
        <v>0</v>
      </c>
      <c r="C54" s="3">
        <f>'DB Dir Prod'!C30</f>
        <v>0</v>
      </c>
      <c r="D54" s="3">
        <f>'DB Dir Prod'!D30</f>
        <v>0</v>
      </c>
      <c r="E54" s="3">
        <f>'DB Dir Prod'!E30</f>
        <v>0</v>
      </c>
      <c r="F54" s="3">
        <f>'DB Dir Prod'!F30</f>
        <v>0</v>
      </c>
      <c r="G54" s="3">
        <f>'DB Dir Prod'!G30</f>
        <v>0</v>
      </c>
      <c r="H54" s="3">
        <f>'DB Dir Prod'!H30</f>
        <v>0</v>
      </c>
      <c r="I54" s="3">
        <f>'DB Dir Prod'!I30</f>
        <v>0</v>
      </c>
      <c r="J54" s="3">
        <f>'DB Dir Prod'!J30</f>
        <v>0</v>
      </c>
      <c r="K54" s="3">
        <f>'DB Dir Prod'!K30</f>
        <v>0</v>
      </c>
      <c r="L54" s="3">
        <f>'DB Dir Prod'!L30</f>
        <v>0</v>
      </c>
      <c r="M54" s="3">
        <f>'DB Dir Prod'!M30</f>
        <v>0</v>
      </c>
      <c r="N54" s="298">
        <f>SUM(B54:M54)</f>
        <v>0</v>
      </c>
    </row>
    <row r="55" spans="1:14" x14ac:dyDescent="0.25">
      <c r="A55" s="5" t="s">
        <v>96</v>
      </c>
      <c r="B55" s="3">
        <f>B54</f>
        <v>0</v>
      </c>
      <c r="C55" s="3">
        <f>SUM($B$54:C$54)</f>
        <v>0</v>
      </c>
      <c r="D55" s="3">
        <f>SUM($B$54:D$54)</f>
        <v>0</v>
      </c>
      <c r="E55" s="3">
        <f>SUM($B$54:E$54)</f>
        <v>0</v>
      </c>
      <c r="F55" s="3">
        <f>SUM($B$54:F$54)</f>
        <v>0</v>
      </c>
      <c r="G55" s="3">
        <f>SUM($B$54:G$54)</f>
        <v>0</v>
      </c>
      <c r="H55" s="3">
        <f>SUM($B$54:H$54)</f>
        <v>0</v>
      </c>
      <c r="I55" s="3">
        <f>SUM($B$54:I$54)</f>
        <v>0</v>
      </c>
      <c r="J55" s="3">
        <f>SUM($B$54:J$54)</f>
        <v>0</v>
      </c>
      <c r="K55" s="3">
        <f>SUM($B$54:K$54)</f>
        <v>0</v>
      </c>
      <c r="L55" s="3">
        <f>SUM($B$54:L$54)</f>
        <v>0</v>
      </c>
      <c r="M55" s="3">
        <f>SUM($B$54:M$54)</f>
        <v>0</v>
      </c>
      <c r="N55" s="298"/>
    </row>
    <row r="56" spans="1:14" x14ac:dyDescent="0.25">
      <c r="A56" s="5" t="s">
        <v>43</v>
      </c>
      <c r="B56" s="8">
        <f>IF(B54=0,1,B54/B53)</f>
        <v>1</v>
      </c>
      <c r="C56" s="8">
        <f t="shared" ref="C56:M56" si="34">IF(C54=0,1,C54/C53)</f>
        <v>1</v>
      </c>
      <c r="D56" s="8">
        <f t="shared" si="34"/>
        <v>1</v>
      </c>
      <c r="E56" s="8">
        <f t="shared" si="34"/>
        <v>1</v>
      </c>
      <c r="F56" s="8">
        <f t="shared" si="34"/>
        <v>1</v>
      </c>
      <c r="G56" s="8">
        <f t="shared" si="34"/>
        <v>1</v>
      </c>
      <c r="H56" s="8">
        <f t="shared" si="34"/>
        <v>1</v>
      </c>
      <c r="I56" s="8">
        <f t="shared" si="34"/>
        <v>1</v>
      </c>
      <c r="J56" s="8">
        <f t="shared" si="34"/>
        <v>1</v>
      </c>
      <c r="K56" s="8">
        <f t="shared" si="34"/>
        <v>1</v>
      </c>
      <c r="L56" s="8">
        <f t="shared" si="34"/>
        <v>1</v>
      </c>
      <c r="M56" s="8">
        <f t="shared" si="34"/>
        <v>1</v>
      </c>
      <c r="N56" s="8" t="str">
        <f t="shared" ref="N56" si="35">IF(N54=0,"100%",N54/N53)</f>
        <v>100%</v>
      </c>
    </row>
    <row r="57" spans="1:14" x14ac:dyDescent="0.25">
      <c r="A57" s="5" t="s">
        <v>44</v>
      </c>
      <c r="B57" s="8">
        <f>B56</f>
        <v>1</v>
      </c>
      <c r="C57" s="4">
        <f>SUM($B$56:C$56)/COUNT($B$56:C$56)</f>
        <v>1</v>
      </c>
      <c r="D57" s="4">
        <f>SUM($B$56:D$56)/COUNT($B$56:D$56)</f>
        <v>1</v>
      </c>
      <c r="E57" s="4">
        <f>SUM($B$56:E$56)/COUNT($B$56:E$56)</f>
        <v>1</v>
      </c>
      <c r="F57" s="4">
        <f>SUM($B$56:F$56)/COUNT($B$56:F$56)</f>
        <v>1</v>
      </c>
      <c r="G57" s="4">
        <f>SUM($B$56:G$56)/COUNT($B$56:G$56)</f>
        <v>1</v>
      </c>
      <c r="H57" s="4">
        <f>SUM($B$56:H$56)/COUNT($B$56:H$56)</f>
        <v>1</v>
      </c>
      <c r="I57" s="4">
        <f>SUM($B$56:I$56)/COUNT($B$56:I$56)</f>
        <v>1</v>
      </c>
      <c r="J57" s="4">
        <f>SUM($B$56:J$56)/COUNT($B$56:J$56)</f>
        <v>1</v>
      </c>
      <c r="K57" s="4">
        <f>SUM($B$56:K$56)/COUNT($B$56:K$56)</f>
        <v>1</v>
      </c>
      <c r="L57" s="4">
        <f>SUM($B$56:L$56)/COUNT($B$56:L$56)</f>
        <v>1</v>
      </c>
      <c r="M57" s="4">
        <f>SUM($B$56:M$56)/COUNT($B$56:M$56)</f>
        <v>1</v>
      </c>
      <c r="N57" s="4"/>
    </row>
    <row r="58" spans="1:14" x14ac:dyDescent="0.25">
      <c r="A58" s="323" t="s">
        <v>346</v>
      </c>
    </row>
    <row r="60" spans="1:14" x14ac:dyDescent="0.25">
      <c r="A60" s="6" t="s">
        <v>52</v>
      </c>
    </row>
    <row r="61" spans="1:14" x14ac:dyDescent="0.25">
      <c r="A61" s="5" t="s">
        <v>54</v>
      </c>
      <c r="B61" s="5" t="s">
        <v>29</v>
      </c>
      <c r="C61" s="5" t="s">
        <v>30</v>
      </c>
      <c r="D61" s="5" t="s">
        <v>31</v>
      </c>
      <c r="E61" s="5" t="s">
        <v>32</v>
      </c>
      <c r="F61" s="5" t="s">
        <v>33</v>
      </c>
      <c r="G61" s="5" t="s">
        <v>34</v>
      </c>
      <c r="H61" s="5" t="s">
        <v>35</v>
      </c>
      <c r="I61" s="5" t="s">
        <v>36</v>
      </c>
      <c r="J61" s="5" t="s">
        <v>37</v>
      </c>
      <c r="K61" s="5" t="s">
        <v>38</v>
      </c>
      <c r="L61" s="5" t="s">
        <v>39</v>
      </c>
      <c r="M61" s="5" t="s">
        <v>40</v>
      </c>
      <c r="N61" s="5" t="s">
        <v>95</v>
      </c>
    </row>
    <row r="62" spans="1:14" x14ac:dyDescent="0.25">
      <c r="A62" s="5" t="s">
        <v>41</v>
      </c>
      <c r="B62" s="3">
        <f>'DB Dir Prod'!B38</f>
        <v>0</v>
      </c>
      <c r="C62" s="3">
        <f>'DB Dir Prod'!C38</f>
        <v>0</v>
      </c>
      <c r="D62" s="3">
        <f>'DB Dir Prod'!D38</f>
        <v>0</v>
      </c>
      <c r="E62" s="3">
        <f>'DB Dir Prod'!E38</f>
        <v>0</v>
      </c>
      <c r="F62" s="10">
        <f>'DB Dir Prod'!F38</f>
        <v>0</v>
      </c>
      <c r="G62" s="10">
        <f>'DB Dir Prod'!G38</f>
        <v>0</v>
      </c>
      <c r="H62" s="10">
        <f>'DB Dir Prod'!H38</f>
        <v>0</v>
      </c>
      <c r="I62" s="10">
        <f>'DB Dir Prod'!I38</f>
        <v>0</v>
      </c>
      <c r="J62" s="10">
        <f>'DB Dir Prod'!J38</f>
        <v>0</v>
      </c>
      <c r="K62" s="10">
        <f>'DB Dir Prod'!K38</f>
        <v>0</v>
      </c>
      <c r="L62" s="10">
        <f>'DB Dir Prod'!L38</f>
        <v>0</v>
      </c>
      <c r="M62" s="10">
        <f>'DB Dir Prod'!M38</f>
        <v>0</v>
      </c>
      <c r="N62" s="328">
        <f>SUM(B62:M62)</f>
        <v>0</v>
      </c>
    </row>
    <row r="63" spans="1:14" x14ac:dyDescent="0.25">
      <c r="A63" s="5" t="s">
        <v>42</v>
      </c>
      <c r="B63" s="376">
        <v>10</v>
      </c>
      <c r="C63" s="376">
        <v>6</v>
      </c>
      <c r="D63" s="376">
        <v>3</v>
      </c>
      <c r="E63" s="376">
        <v>1</v>
      </c>
      <c r="F63" s="10">
        <v>12</v>
      </c>
      <c r="G63" s="10">
        <v>9</v>
      </c>
      <c r="H63" s="10"/>
      <c r="I63" s="10"/>
      <c r="J63" s="10"/>
      <c r="K63" s="10"/>
      <c r="L63" s="10"/>
      <c r="M63" s="10"/>
      <c r="N63" s="10">
        <f>SUM(B63:M63)</f>
        <v>41</v>
      </c>
    </row>
    <row r="64" spans="1:14" x14ac:dyDescent="0.25">
      <c r="A64" s="5" t="s">
        <v>96</v>
      </c>
      <c r="B64" s="10">
        <f>B63</f>
        <v>10</v>
      </c>
      <c r="C64" s="10">
        <f>SUM($B$63:C$63)</f>
        <v>16</v>
      </c>
      <c r="D64" s="10">
        <f>SUM($B$63:D$63)</f>
        <v>19</v>
      </c>
      <c r="E64" s="10">
        <f>SUM($B$63:E$63)</f>
        <v>20</v>
      </c>
      <c r="F64" s="10">
        <f>SUM($B$63:F$63)</f>
        <v>32</v>
      </c>
      <c r="G64" s="10">
        <f>SUM($B$63:G$63)</f>
        <v>41</v>
      </c>
      <c r="H64" s="10">
        <f>SUM($B$63:H$63)</f>
        <v>41</v>
      </c>
      <c r="I64" s="10">
        <f>SUM($B$63:I$63)</f>
        <v>41</v>
      </c>
      <c r="J64" s="10">
        <f>SUM($B$63:J$63)</f>
        <v>41</v>
      </c>
      <c r="K64" s="10">
        <f>SUM($B$63:K$63)</f>
        <v>41</v>
      </c>
      <c r="L64" s="10">
        <f>SUM($B$63:L$63)</f>
        <v>41</v>
      </c>
      <c r="M64" s="10">
        <f>SUM($B$63:M$63)</f>
        <v>41</v>
      </c>
      <c r="N64" s="10"/>
    </row>
    <row r="65" spans="1:29" ht="14.25" customHeight="1" x14ac:dyDescent="0.25">
      <c r="A65" s="5" t="s">
        <v>43</v>
      </c>
      <c r="B65" s="8">
        <f>IF(B63=0,1,B62/B63)</f>
        <v>0</v>
      </c>
      <c r="C65" s="8">
        <f t="shared" ref="C65:N65" si="36">IF(C63=0,1,C62/C63)</f>
        <v>0</v>
      </c>
      <c r="D65" s="8">
        <f t="shared" si="36"/>
        <v>0</v>
      </c>
      <c r="E65" s="8">
        <f t="shared" si="36"/>
        <v>0</v>
      </c>
      <c r="F65" s="8">
        <f t="shared" si="36"/>
        <v>0</v>
      </c>
      <c r="G65" s="8">
        <f t="shared" si="36"/>
        <v>0</v>
      </c>
      <c r="H65" s="8">
        <f t="shared" si="36"/>
        <v>1</v>
      </c>
      <c r="I65" s="8">
        <f t="shared" si="36"/>
        <v>1</v>
      </c>
      <c r="J65" s="8">
        <f t="shared" si="36"/>
        <v>1</v>
      </c>
      <c r="K65" s="8">
        <f t="shared" si="36"/>
        <v>1</v>
      </c>
      <c r="L65" s="8">
        <f t="shared" si="36"/>
        <v>1</v>
      </c>
      <c r="M65" s="8">
        <f t="shared" si="36"/>
        <v>1</v>
      </c>
      <c r="N65" s="8">
        <f t="shared" si="36"/>
        <v>0</v>
      </c>
    </row>
    <row r="66" spans="1:29" x14ac:dyDescent="0.25">
      <c r="A66" s="5" t="s">
        <v>44</v>
      </c>
      <c r="B66" s="8">
        <f>B65</f>
        <v>0</v>
      </c>
      <c r="C66" s="4">
        <f>SUM($B$65:C$65)/COUNT($B$65:C$65)</f>
        <v>0</v>
      </c>
      <c r="D66" s="4">
        <f>SUM($B$65:D$65)/COUNT($B$65:D$65)</f>
        <v>0</v>
      </c>
      <c r="E66" s="4">
        <f>SUM($B$65:E$65)/COUNT($B$65:E$65)</f>
        <v>0</v>
      </c>
      <c r="F66" s="4">
        <f>SUM($B$65:F$65)/COUNT($B$65:F$65)</f>
        <v>0</v>
      </c>
      <c r="G66" s="4">
        <f>SUM($B$65:G$65)/COUNT($B$65:G$65)</f>
        <v>0</v>
      </c>
      <c r="H66" s="4">
        <f>SUM($B$65:H$65)/COUNT($B$65:H$65)</f>
        <v>0.14285714285714285</v>
      </c>
      <c r="I66" s="4">
        <f>SUM($B$65:I$65)/COUNT($B$65:I$65)</f>
        <v>0.25</v>
      </c>
      <c r="J66" s="4">
        <f>SUM($B$65:J$65)/COUNT($B$65:J$65)</f>
        <v>0.33333333333333331</v>
      </c>
      <c r="K66" s="4">
        <f>SUM($B$65:K$65)/COUNT($B$65:K$65)</f>
        <v>0.4</v>
      </c>
      <c r="L66" s="4">
        <f>SUM($B$65:L$65)/COUNT($B$65:L$65)</f>
        <v>0.45454545454545453</v>
      </c>
      <c r="M66" s="4">
        <f>SUM($B$65:M$65)/COUNT($B$65:M$65)</f>
        <v>0.5</v>
      </c>
      <c r="N66" s="4"/>
    </row>
    <row r="67" spans="1:29" x14ac:dyDescent="0.25">
      <c r="A67" s="323" t="s">
        <v>346</v>
      </c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</row>
    <row r="69" spans="1:29" x14ac:dyDescent="0.25">
      <c r="A69" s="6" t="s">
        <v>298</v>
      </c>
    </row>
    <row r="70" spans="1:29" x14ac:dyDescent="0.25">
      <c r="A70" s="5" t="s">
        <v>297</v>
      </c>
      <c r="B70" s="5" t="s">
        <v>29</v>
      </c>
      <c r="C70" s="5" t="s">
        <v>30</v>
      </c>
      <c r="D70" s="5" t="s">
        <v>31</v>
      </c>
      <c r="E70" s="5" t="s">
        <v>32</v>
      </c>
      <c r="F70" s="5" t="s">
        <v>33</v>
      </c>
      <c r="G70" s="5" t="s">
        <v>34</v>
      </c>
      <c r="H70" s="5" t="s">
        <v>35</v>
      </c>
      <c r="I70" s="5" t="s">
        <v>36</v>
      </c>
      <c r="J70" s="5" t="s">
        <v>37</v>
      </c>
      <c r="K70" s="5" t="s">
        <v>38</v>
      </c>
      <c r="L70" s="5" t="s">
        <v>39</v>
      </c>
      <c r="M70" s="5" t="s">
        <v>40</v>
      </c>
      <c r="N70" s="5" t="s">
        <v>95</v>
      </c>
      <c r="P70" s="325" t="s">
        <v>102</v>
      </c>
      <c r="Q70" s="5" t="s">
        <v>29</v>
      </c>
      <c r="R70" s="5" t="s">
        <v>30</v>
      </c>
      <c r="S70" s="5" t="s">
        <v>31</v>
      </c>
      <c r="T70" s="5" t="s">
        <v>32</v>
      </c>
      <c r="U70" s="5" t="s">
        <v>33</v>
      </c>
      <c r="V70" s="5" t="s">
        <v>34</v>
      </c>
      <c r="W70" s="5" t="s">
        <v>35</v>
      </c>
      <c r="X70" s="5" t="s">
        <v>36</v>
      </c>
      <c r="Y70" s="5" t="s">
        <v>37</v>
      </c>
      <c r="Z70" s="5" t="s">
        <v>38</v>
      </c>
      <c r="AA70" s="5" t="s">
        <v>39</v>
      </c>
      <c r="AB70" s="5" t="s">
        <v>40</v>
      </c>
      <c r="AC70" s="5" t="s">
        <v>95</v>
      </c>
    </row>
    <row r="71" spans="1:29" x14ac:dyDescent="0.25">
      <c r="A71" s="5" t="s">
        <v>41</v>
      </c>
      <c r="B71" s="4">
        <v>0.75</v>
      </c>
      <c r="C71" s="4">
        <v>0.75</v>
      </c>
      <c r="D71" s="4">
        <v>0.75</v>
      </c>
      <c r="E71" s="4">
        <v>0.75</v>
      </c>
      <c r="F71" s="4">
        <v>0.75</v>
      </c>
      <c r="G71" s="4">
        <v>0.75</v>
      </c>
      <c r="H71" s="4">
        <v>0.75</v>
      </c>
      <c r="I71" s="4">
        <v>0.75</v>
      </c>
      <c r="J71" s="4">
        <v>0.75</v>
      </c>
      <c r="K71" s="4">
        <v>0.75</v>
      </c>
      <c r="L71" s="4">
        <v>0.75</v>
      </c>
      <c r="M71" s="4">
        <v>0.75</v>
      </c>
      <c r="N71" s="4">
        <f>AVERAGE(B71:M71)</f>
        <v>0.75</v>
      </c>
      <c r="P71" t="s">
        <v>339</v>
      </c>
      <c r="Q71" s="329">
        <f>'DB Dir Adm'!B67</f>
        <v>1</v>
      </c>
      <c r="R71" s="329">
        <f>'DB Dir Adm'!C67</f>
        <v>1</v>
      </c>
      <c r="S71" s="329">
        <f>'DB Dir Adm'!D67</f>
        <v>1</v>
      </c>
      <c r="T71" s="329">
        <f>'DB Dir Adm'!E67</f>
        <v>1</v>
      </c>
      <c r="U71" s="329">
        <f>'DB Dir Adm'!F67</f>
        <v>1</v>
      </c>
      <c r="V71" s="329">
        <f>'DB Dir Adm'!G67</f>
        <v>1</v>
      </c>
      <c r="W71" s="329">
        <f>'DB Dir Adm'!H67</f>
        <v>1</v>
      </c>
      <c r="X71" s="329">
        <f>'DB Dir Adm'!I67</f>
        <v>1</v>
      </c>
      <c r="Y71" s="329">
        <f>'DB Dir Adm'!J67</f>
        <v>1</v>
      </c>
      <c r="Z71" s="329">
        <f>'DB Dir Adm'!K67</f>
        <v>1</v>
      </c>
      <c r="AA71" s="329">
        <f>'DB Dir Adm'!L67</f>
        <v>1</v>
      </c>
      <c r="AB71" s="329">
        <f>'DB Dir Adm'!M67</f>
        <v>1</v>
      </c>
      <c r="AC71" s="329">
        <f>AVERAGE(Q71:AB71)</f>
        <v>1</v>
      </c>
    </row>
    <row r="72" spans="1:29" x14ac:dyDescent="0.25">
      <c r="A72" s="5" t="s">
        <v>42</v>
      </c>
      <c r="B72" s="4">
        <v>0.75</v>
      </c>
      <c r="C72" s="4">
        <v>0.75</v>
      </c>
      <c r="D72" s="4">
        <v>0.75</v>
      </c>
      <c r="E72" s="4">
        <v>0.75</v>
      </c>
      <c r="F72" s="4">
        <v>0.75</v>
      </c>
      <c r="G72" s="4"/>
      <c r="H72" s="4"/>
      <c r="I72" s="4"/>
      <c r="J72" s="4"/>
      <c r="K72" s="4"/>
      <c r="L72" s="4"/>
      <c r="M72" s="4"/>
      <c r="N72" s="4">
        <f>AVERAGE(B72:M72)</f>
        <v>0.75</v>
      </c>
      <c r="P72" t="s">
        <v>340</v>
      </c>
      <c r="Q72" s="329">
        <f>'DB SLS &amp; MKT'!B102</f>
        <v>1</v>
      </c>
      <c r="R72" s="329">
        <f>'DB SLS &amp; MKT'!C102</f>
        <v>1</v>
      </c>
      <c r="S72" s="329">
        <f>'DB SLS &amp; MKT'!D102</f>
        <v>1</v>
      </c>
      <c r="T72" s="329">
        <f>'DB SLS &amp; MKT'!E102</f>
        <v>1</v>
      </c>
      <c r="U72" s="329">
        <f>'DB SLS &amp; MKT'!F102</f>
        <v>1</v>
      </c>
      <c r="V72" s="329">
        <f>'DB SLS &amp; MKT'!G102</f>
        <v>1</v>
      </c>
      <c r="W72" s="329">
        <f>'DB SLS &amp; MKT'!H102</f>
        <v>1</v>
      </c>
      <c r="X72" s="329">
        <f>'DB SLS &amp; MKT'!I102</f>
        <v>1</v>
      </c>
      <c r="Y72" s="329">
        <f>'DB SLS &amp; MKT'!J102</f>
        <v>1</v>
      </c>
      <c r="Z72" s="329">
        <f>'DB SLS &amp; MKT'!K102</f>
        <v>1</v>
      </c>
      <c r="AA72" s="329">
        <f>'DB SLS &amp; MKT'!L102</f>
        <v>1</v>
      </c>
      <c r="AB72" s="329">
        <f>'DB SLS &amp; MKT'!M102</f>
        <v>1</v>
      </c>
      <c r="AC72" s="329">
        <f t="shared" ref="AC72:AC74" si="37">AVERAGE(Q72:AB72)</f>
        <v>1</v>
      </c>
    </row>
    <row r="73" spans="1:29" x14ac:dyDescent="0.25">
      <c r="A73" s="5" t="s">
        <v>43</v>
      </c>
      <c r="B73" s="8">
        <f t="shared" ref="B73:N73" si="38">B72/B71</f>
        <v>1</v>
      </c>
      <c r="C73" s="8">
        <f t="shared" si="38"/>
        <v>1</v>
      </c>
      <c r="D73" s="8">
        <f t="shared" si="38"/>
        <v>1</v>
      </c>
      <c r="E73" s="8">
        <f t="shared" si="38"/>
        <v>1</v>
      </c>
      <c r="F73" s="8">
        <f t="shared" si="38"/>
        <v>1</v>
      </c>
      <c r="G73" s="8">
        <f t="shared" si="38"/>
        <v>0</v>
      </c>
      <c r="H73" s="8">
        <f t="shared" si="38"/>
        <v>0</v>
      </c>
      <c r="I73" s="8">
        <f t="shared" si="38"/>
        <v>0</v>
      </c>
      <c r="J73" s="8">
        <f t="shared" si="38"/>
        <v>0</v>
      </c>
      <c r="K73" s="8">
        <f t="shared" si="38"/>
        <v>0</v>
      </c>
      <c r="L73" s="8">
        <f t="shared" si="38"/>
        <v>0</v>
      </c>
      <c r="M73" s="8">
        <f t="shared" si="38"/>
        <v>0</v>
      </c>
      <c r="N73" s="8">
        <f t="shared" si="38"/>
        <v>1</v>
      </c>
      <c r="P73" t="s">
        <v>341</v>
      </c>
      <c r="Q73" s="329">
        <f>'DB BusDev'!B93</f>
        <v>1</v>
      </c>
      <c r="R73" s="329">
        <f>'DB BusDev'!C93</f>
        <v>1</v>
      </c>
      <c r="S73" s="329">
        <f>'DB BusDev'!D93</f>
        <v>1</v>
      </c>
      <c r="T73" s="329">
        <f>'DB BusDev'!E93</f>
        <v>1</v>
      </c>
      <c r="U73" s="329">
        <f>'DB BusDev'!F93</f>
        <v>1</v>
      </c>
      <c r="V73" s="329">
        <f>'DB BusDev'!G93</f>
        <v>1</v>
      </c>
      <c r="W73" s="329">
        <f>'DB BusDev'!H93</f>
        <v>1</v>
      </c>
      <c r="X73" s="329">
        <f>'DB BusDev'!I93</f>
        <v>1</v>
      </c>
      <c r="Y73" s="329">
        <f>'DB BusDev'!J93</f>
        <v>1</v>
      </c>
      <c r="Z73" s="329">
        <f>'DB BusDev'!K93</f>
        <v>1</v>
      </c>
      <c r="AA73" s="329">
        <f>'DB BusDev'!L93</f>
        <v>1</v>
      </c>
      <c r="AB73" s="329">
        <f>'DB BusDev'!M93</f>
        <v>1</v>
      </c>
      <c r="AC73" s="329">
        <f t="shared" si="37"/>
        <v>1</v>
      </c>
    </row>
    <row r="74" spans="1:29" x14ac:dyDescent="0.25">
      <c r="A74" s="5" t="s">
        <v>44</v>
      </c>
      <c r="B74" s="8">
        <f>B73</f>
        <v>1</v>
      </c>
      <c r="C74" s="4">
        <f>SUM($B$72:C$72)/COUNT($B$72:C$72)</f>
        <v>0.75</v>
      </c>
      <c r="D74" s="4">
        <f>SUM($B$72:D$72)/COUNT($B$72:D$72)</f>
        <v>0.75</v>
      </c>
      <c r="E74" s="4">
        <f>SUM($B$72:E$72)/COUNT($B$72:E$72)</f>
        <v>0.75</v>
      </c>
      <c r="F74" s="4">
        <f>SUM($B$72:F$72)/COUNT($B$72:F$72)</f>
        <v>0.75</v>
      </c>
      <c r="G74" s="4">
        <f>SUM($B$72:G$72)/COUNT($B$72:G$72)</f>
        <v>0.75</v>
      </c>
      <c r="H74" s="4">
        <f>SUM($B$72:H$72)/COUNT($B$72:H$72)</f>
        <v>0.75</v>
      </c>
      <c r="I74" s="4">
        <f>SUM($B$72:I$72)/COUNT($B$72:I$72)</f>
        <v>0.75</v>
      </c>
      <c r="J74" s="4">
        <f>SUM($B$72:J$72)/COUNT($B$72:J$72)</f>
        <v>0.75</v>
      </c>
      <c r="K74" s="4">
        <f>SUM($B$72:K$72)/COUNT($B$72:K$72)</f>
        <v>0.75</v>
      </c>
      <c r="L74" s="4">
        <f>SUM($B$72:L$72)/COUNT($B$72:L$72)</f>
        <v>0.75</v>
      </c>
      <c r="M74" s="4">
        <f>SUM($B$72:M$72)/COUNT($B$72:M$72)</f>
        <v>0.75</v>
      </c>
      <c r="N74" s="4"/>
      <c r="P74" t="s">
        <v>342</v>
      </c>
      <c r="Q74" s="329">
        <f>'DB Dir Prod'!B87</f>
        <v>1</v>
      </c>
      <c r="R74" s="329">
        <f>'DB Dir Prod'!C87</f>
        <v>1</v>
      </c>
      <c r="S74" s="329">
        <f>'DB Dir Prod'!D87</f>
        <v>1</v>
      </c>
      <c r="T74" s="329">
        <f>'DB Dir Prod'!E87</f>
        <v>1</v>
      </c>
      <c r="U74" s="329">
        <f>'DB Dir Prod'!F87</f>
        <v>1</v>
      </c>
      <c r="V74" s="329">
        <f>'DB Dir Prod'!G87</f>
        <v>1</v>
      </c>
      <c r="W74" s="329">
        <f>'DB Dir Prod'!H87</f>
        <v>1</v>
      </c>
      <c r="X74" s="329">
        <f>'DB Dir Prod'!I87</f>
        <v>1</v>
      </c>
      <c r="Y74" s="329">
        <f>'DB Dir Prod'!J87</f>
        <v>1</v>
      </c>
      <c r="Z74" s="329">
        <f>'DB Dir Prod'!K87</f>
        <v>1</v>
      </c>
      <c r="AA74" s="329">
        <f>'DB Dir Prod'!L87</f>
        <v>1</v>
      </c>
      <c r="AB74" s="329">
        <f>'DB Dir Prod'!M87</f>
        <v>1</v>
      </c>
      <c r="AC74" s="329">
        <f t="shared" si="37"/>
        <v>1</v>
      </c>
    </row>
    <row r="75" spans="1:29" x14ac:dyDescent="0.25">
      <c r="A75" s="303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P75" t="s">
        <v>343</v>
      </c>
      <c r="Q75" s="329">
        <f>AVERAGE(Q71:Q74)</f>
        <v>1</v>
      </c>
      <c r="R75" s="329">
        <f t="shared" ref="R75" si="39">AVERAGE(R71:R74)</f>
        <v>1</v>
      </c>
      <c r="S75" s="329">
        <f t="shared" ref="S75" si="40">AVERAGE(S71:S74)</f>
        <v>1</v>
      </c>
      <c r="T75" s="329">
        <f t="shared" ref="T75" si="41">AVERAGE(T71:T74)</f>
        <v>1</v>
      </c>
      <c r="U75" s="329">
        <f t="shared" ref="U75" si="42">AVERAGE(U71:U74)</f>
        <v>1</v>
      </c>
      <c r="V75" s="329">
        <f t="shared" ref="V75" si="43">AVERAGE(V71:V74)</f>
        <v>1</v>
      </c>
      <c r="W75" s="329">
        <f t="shared" ref="W75" si="44">AVERAGE(W71:W74)</f>
        <v>1</v>
      </c>
      <c r="X75" s="329">
        <f t="shared" ref="X75" si="45">AVERAGE(X71:X74)</f>
        <v>1</v>
      </c>
      <c r="Y75" s="329">
        <f t="shared" ref="Y75" si="46">AVERAGE(Y71:Y74)</f>
        <v>1</v>
      </c>
      <c r="Z75" s="329">
        <f t="shared" ref="Z75" si="47">AVERAGE(Z71:Z74)</f>
        <v>1</v>
      </c>
      <c r="AA75" s="329">
        <f t="shared" ref="AA75" si="48">AVERAGE(AA71:AA74)</f>
        <v>1</v>
      </c>
      <c r="AB75" s="329">
        <f t="shared" ref="AB75" si="49">AVERAGE(AB71:AB74)</f>
        <v>1</v>
      </c>
      <c r="AC75" s="329">
        <f t="shared" ref="AC75" si="50">AVERAGE(AC71:AC74)</f>
        <v>1</v>
      </c>
    </row>
    <row r="77" spans="1:29" x14ac:dyDescent="0.25">
      <c r="A77" s="6" t="s">
        <v>331</v>
      </c>
      <c r="B77" s="371"/>
      <c r="C77" s="371"/>
    </row>
    <row r="78" spans="1:29" x14ac:dyDescent="0.25">
      <c r="A78" s="283" t="s">
        <v>250</v>
      </c>
      <c r="B78" s="285" t="s">
        <v>29</v>
      </c>
      <c r="C78" s="285" t="s">
        <v>30</v>
      </c>
      <c r="D78" s="285" t="s">
        <v>31</v>
      </c>
      <c r="E78" s="285" t="s">
        <v>32</v>
      </c>
      <c r="F78" s="285" t="s">
        <v>33</v>
      </c>
      <c r="G78" s="285" t="s">
        <v>34</v>
      </c>
      <c r="H78" s="285" t="s">
        <v>35</v>
      </c>
      <c r="I78" s="285" t="s">
        <v>36</v>
      </c>
      <c r="J78" s="285" t="s">
        <v>37</v>
      </c>
      <c r="K78" s="285" t="s">
        <v>38</v>
      </c>
      <c r="L78" s="285" t="s">
        <v>39</v>
      </c>
      <c r="M78" s="285" t="s">
        <v>40</v>
      </c>
      <c r="N78" s="285" t="s">
        <v>95</v>
      </c>
      <c r="P78" s="325" t="s">
        <v>102</v>
      </c>
      <c r="Q78" s="5" t="s">
        <v>29</v>
      </c>
      <c r="R78" s="5" t="s">
        <v>30</v>
      </c>
      <c r="S78" s="5" t="s">
        <v>31</v>
      </c>
      <c r="T78" s="5" t="s">
        <v>32</v>
      </c>
      <c r="U78" s="5" t="s">
        <v>33</v>
      </c>
      <c r="V78" s="5" t="s">
        <v>34</v>
      </c>
      <c r="W78" s="5" t="s">
        <v>35</v>
      </c>
      <c r="X78" s="5" t="s">
        <v>36</v>
      </c>
      <c r="Y78" s="5" t="s">
        <v>37</v>
      </c>
      <c r="Z78" s="5" t="s">
        <v>38</v>
      </c>
      <c r="AA78" s="5" t="s">
        <v>39</v>
      </c>
      <c r="AB78" s="5" t="s">
        <v>40</v>
      </c>
      <c r="AC78" s="5" t="s">
        <v>95</v>
      </c>
    </row>
    <row r="79" spans="1:29" x14ac:dyDescent="0.25">
      <c r="A79" s="5" t="s">
        <v>41</v>
      </c>
      <c r="B79" s="298">
        <v>0</v>
      </c>
      <c r="C79" s="298">
        <v>0</v>
      </c>
      <c r="D79" s="298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f>SUM(B79:M79)</f>
        <v>0</v>
      </c>
      <c r="P79" t="s">
        <v>339</v>
      </c>
      <c r="Q79" s="335">
        <f>'DB Dir Adm'!B47</f>
        <v>0</v>
      </c>
      <c r="R79" s="335">
        <f>'DB Dir Adm'!C47</f>
        <v>0</v>
      </c>
      <c r="S79" s="335">
        <f>'DB Dir Adm'!D47</f>
        <v>0</v>
      </c>
      <c r="T79" s="335">
        <f>'DB Dir Adm'!E47</f>
        <v>0</v>
      </c>
      <c r="U79" s="335">
        <f>'DB Dir Adm'!F47</f>
        <v>0</v>
      </c>
      <c r="V79" s="335">
        <f>'DB Dir Adm'!G47</f>
        <v>0</v>
      </c>
      <c r="W79" s="335">
        <f>'DB Dir Adm'!H47</f>
        <v>0</v>
      </c>
      <c r="X79" s="335">
        <f>'DB Dir Adm'!I47</f>
        <v>0</v>
      </c>
      <c r="Y79" s="335">
        <f>'DB Dir Adm'!J47</f>
        <v>0</v>
      </c>
      <c r="Z79" s="335">
        <f>'DB Dir Adm'!K47</f>
        <v>0</v>
      </c>
      <c r="AA79" s="335">
        <f>'DB Dir Adm'!L47</f>
        <v>0</v>
      </c>
      <c r="AB79" s="335">
        <f>'DB Dir Adm'!M47</f>
        <v>0</v>
      </c>
      <c r="AC79" s="335">
        <f>AVERAGE(Q79:AB79)</f>
        <v>0</v>
      </c>
    </row>
    <row r="80" spans="1:29" x14ac:dyDescent="0.25">
      <c r="A80" s="5" t="s">
        <v>42</v>
      </c>
      <c r="B80" s="298">
        <f>Q83</f>
        <v>0</v>
      </c>
      <c r="C80" s="298">
        <f t="shared" ref="C80:M80" si="51">R83</f>
        <v>0</v>
      </c>
      <c r="D80" s="298">
        <v>8</v>
      </c>
      <c r="E80" s="298">
        <f t="shared" si="51"/>
        <v>0</v>
      </c>
      <c r="F80" s="298">
        <f t="shared" si="51"/>
        <v>0</v>
      </c>
      <c r="G80" s="298">
        <f t="shared" si="51"/>
        <v>0</v>
      </c>
      <c r="H80" s="298">
        <f t="shared" si="51"/>
        <v>0</v>
      </c>
      <c r="I80" s="298">
        <f t="shared" si="51"/>
        <v>0</v>
      </c>
      <c r="J80" s="298">
        <f t="shared" si="51"/>
        <v>0</v>
      </c>
      <c r="K80" s="298">
        <f t="shared" si="51"/>
        <v>0</v>
      </c>
      <c r="L80" s="298">
        <f t="shared" si="51"/>
        <v>0</v>
      </c>
      <c r="M80" s="298">
        <f t="shared" si="51"/>
        <v>0</v>
      </c>
      <c r="N80" s="298">
        <f>SUM(B80:M80)</f>
        <v>8</v>
      </c>
      <c r="P80" t="s">
        <v>340</v>
      </c>
      <c r="Q80" s="335">
        <f>'DB SLS &amp; MKT'!B110</f>
        <v>0</v>
      </c>
      <c r="R80" s="335">
        <f>'DB SLS &amp; MKT'!C110</f>
        <v>0</v>
      </c>
      <c r="S80" s="335">
        <f>'DB SLS &amp; MKT'!D110</f>
        <v>0</v>
      </c>
      <c r="T80" s="335">
        <f>'DB SLS &amp; MKT'!E110</f>
        <v>0</v>
      </c>
      <c r="U80" s="335">
        <f>'DB SLS &amp; MKT'!F110</f>
        <v>0</v>
      </c>
      <c r="V80" s="335">
        <f>'DB SLS &amp; MKT'!G110</f>
        <v>0</v>
      </c>
      <c r="W80" s="335">
        <f>'DB SLS &amp; MKT'!H110</f>
        <v>0</v>
      </c>
      <c r="X80" s="335">
        <f>'DB SLS &amp; MKT'!I110</f>
        <v>0</v>
      </c>
      <c r="Y80" s="335">
        <f>'DB SLS &amp; MKT'!J110</f>
        <v>0</v>
      </c>
      <c r="Z80" s="335">
        <f>'DB SLS &amp; MKT'!K110</f>
        <v>0</v>
      </c>
      <c r="AA80" s="335">
        <f>'DB SLS &amp; MKT'!L110</f>
        <v>0</v>
      </c>
      <c r="AB80" s="335">
        <f>'DB SLS &amp; MKT'!M110</f>
        <v>0</v>
      </c>
      <c r="AC80" s="335">
        <f t="shared" ref="AC80:AC82" si="52">AVERAGE(Q80:AB80)</f>
        <v>0</v>
      </c>
    </row>
    <row r="81" spans="1:29" x14ac:dyDescent="0.25">
      <c r="A81" s="5" t="s">
        <v>96</v>
      </c>
      <c r="B81" s="298">
        <f>SUM($B$80:B$80)</f>
        <v>0</v>
      </c>
      <c r="C81" s="298">
        <f>SUM($B$80:C$80)</f>
        <v>0</v>
      </c>
      <c r="D81" s="298">
        <f>SUM($B$80:D$80)</f>
        <v>8</v>
      </c>
      <c r="E81" s="298">
        <f>SUM($B$80:E$80)</f>
        <v>8</v>
      </c>
      <c r="F81" s="298">
        <f>SUM($B$80:F$80)</f>
        <v>8</v>
      </c>
      <c r="G81" s="298">
        <f>SUM($B$80:G$80)</f>
        <v>8</v>
      </c>
      <c r="H81" s="298">
        <f>SUM($B$80:H$80)</f>
        <v>8</v>
      </c>
      <c r="I81" s="298">
        <f>SUM($B$80:I$80)</f>
        <v>8</v>
      </c>
      <c r="J81" s="298">
        <f>SUM($B$80:J$80)</f>
        <v>8</v>
      </c>
      <c r="K81" s="298">
        <f>SUM($B$80:K$80)</f>
        <v>8</v>
      </c>
      <c r="L81" s="298">
        <f>SUM($B$80:L$80)</f>
        <v>8</v>
      </c>
      <c r="M81" s="298">
        <f>SUM($B$80:M$80)</f>
        <v>8</v>
      </c>
      <c r="N81" s="298"/>
      <c r="P81" t="s">
        <v>341</v>
      </c>
      <c r="Q81" s="335">
        <f>'DB BusDev'!B101</f>
        <v>0</v>
      </c>
      <c r="R81" s="335">
        <f>'DB BusDev'!C101</f>
        <v>0</v>
      </c>
      <c r="S81" s="335">
        <f>'DB BusDev'!D101</f>
        <v>0</v>
      </c>
      <c r="T81" s="335">
        <f>'DB BusDev'!E101</f>
        <v>0</v>
      </c>
      <c r="U81" s="335">
        <f>'DB BusDev'!F101</f>
        <v>0</v>
      </c>
      <c r="V81" s="335">
        <f>'DB BusDev'!G101</f>
        <v>0</v>
      </c>
      <c r="W81" s="335">
        <f>'DB BusDev'!H101</f>
        <v>0</v>
      </c>
      <c r="X81" s="335">
        <f>'DB BusDev'!I101</f>
        <v>0</v>
      </c>
      <c r="Y81" s="335">
        <f>'DB BusDev'!J101</f>
        <v>0</v>
      </c>
      <c r="Z81" s="335">
        <f>'DB BusDev'!K101</f>
        <v>0</v>
      </c>
      <c r="AA81" s="335">
        <f>'DB BusDev'!L101</f>
        <v>0</v>
      </c>
      <c r="AB81" s="335">
        <f>'DB BusDev'!M101</f>
        <v>0</v>
      </c>
      <c r="AC81" s="335">
        <f t="shared" si="52"/>
        <v>0</v>
      </c>
    </row>
    <row r="82" spans="1:29" x14ac:dyDescent="0.25">
      <c r="A82" s="5" t="s">
        <v>43</v>
      </c>
      <c r="B82" s="8">
        <f>IF(B80=0,1,B80/B79)</f>
        <v>1</v>
      </c>
      <c r="C82" s="8">
        <f t="shared" ref="C82:M82" si="53">IF(C80=0,1,C80/C79)</f>
        <v>1</v>
      </c>
      <c r="D82" s="8" t="e">
        <f t="shared" si="53"/>
        <v>#DIV/0!</v>
      </c>
      <c r="E82" s="8">
        <f t="shared" si="53"/>
        <v>1</v>
      </c>
      <c r="F82" s="8">
        <f t="shared" si="53"/>
        <v>1</v>
      </c>
      <c r="G82" s="8">
        <f t="shared" si="53"/>
        <v>1</v>
      </c>
      <c r="H82" s="8">
        <f t="shared" si="53"/>
        <v>1</v>
      </c>
      <c r="I82" s="8">
        <f t="shared" si="53"/>
        <v>1</v>
      </c>
      <c r="J82" s="8">
        <f t="shared" si="53"/>
        <v>1</v>
      </c>
      <c r="K82" s="8">
        <f t="shared" si="53"/>
        <v>1</v>
      </c>
      <c r="L82" s="8">
        <f t="shared" si="53"/>
        <v>1</v>
      </c>
      <c r="M82" s="8">
        <f t="shared" si="53"/>
        <v>1</v>
      </c>
      <c r="N82" s="8" t="e">
        <f t="shared" ref="N82" si="54">IF(N80=0,"100%",N80/N79)</f>
        <v>#DIV/0!</v>
      </c>
      <c r="P82" t="s">
        <v>342</v>
      </c>
      <c r="Q82" s="335">
        <f>'DB Dir Prod'!B95</f>
        <v>0</v>
      </c>
      <c r="R82" s="335">
        <f>'DB Dir Prod'!C95</f>
        <v>0</v>
      </c>
      <c r="S82" s="335">
        <f>'DB Dir Prod'!D95</f>
        <v>0</v>
      </c>
      <c r="T82" s="335">
        <f>'DB Dir Prod'!E95</f>
        <v>0</v>
      </c>
      <c r="U82" s="335">
        <f>'DB Dir Prod'!F95</f>
        <v>0</v>
      </c>
      <c r="V82" s="335">
        <f>'DB Dir Prod'!G95</f>
        <v>0</v>
      </c>
      <c r="W82" s="335">
        <f>'DB Dir Prod'!H95</f>
        <v>0</v>
      </c>
      <c r="X82" s="335">
        <f>'DB Dir Prod'!I95</f>
        <v>0</v>
      </c>
      <c r="Y82" s="335">
        <f>'DB Dir Prod'!J95</f>
        <v>0</v>
      </c>
      <c r="Z82" s="335">
        <f>'DB Dir Prod'!K95</f>
        <v>0</v>
      </c>
      <c r="AA82" s="335">
        <f>'DB Dir Prod'!L95</f>
        <v>0</v>
      </c>
      <c r="AB82" s="335">
        <f>'DB Dir Prod'!M95</f>
        <v>0</v>
      </c>
      <c r="AC82" s="335">
        <f t="shared" si="52"/>
        <v>0</v>
      </c>
    </row>
    <row r="83" spans="1:29" x14ac:dyDescent="0.25">
      <c r="A83" s="5" t="s">
        <v>44</v>
      </c>
      <c r="B83" s="4">
        <f>B82</f>
        <v>1</v>
      </c>
      <c r="C83" s="4">
        <f>SUM($B$82:C$82)/COUNT($B$82:C$82)</f>
        <v>1</v>
      </c>
      <c r="D83" s="4" t="e">
        <f>SUM($B$82:D$82)/COUNT($B$82:D$82)</f>
        <v>#DIV/0!</v>
      </c>
      <c r="E83" s="4" t="e">
        <f>SUM($B$82:E$82)/COUNT($B$82:E$82)</f>
        <v>#DIV/0!</v>
      </c>
      <c r="F83" s="4" t="e">
        <f>SUM($B$82:F$82)/COUNT($B$82:F$82)</f>
        <v>#DIV/0!</v>
      </c>
      <c r="G83" s="4" t="e">
        <f>SUM($B$82:G$82)/COUNT($B$82:G$82)</f>
        <v>#DIV/0!</v>
      </c>
      <c r="H83" s="4" t="e">
        <f>SUM($B$82:H$82)/COUNT($B$82:H$82)</f>
        <v>#DIV/0!</v>
      </c>
      <c r="I83" s="4" t="e">
        <f>SUM($B$82:I$82)/COUNT($B$82:I$82)</f>
        <v>#DIV/0!</v>
      </c>
      <c r="J83" s="4" t="e">
        <f>SUM($B$82:J$82)/COUNT($B$82:J$82)</f>
        <v>#DIV/0!</v>
      </c>
      <c r="K83" s="4" t="e">
        <f>SUM($B$82:K$82)/COUNT($B$82:K$82)</f>
        <v>#DIV/0!</v>
      </c>
      <c r="L83" s="4" t="e">
        <f>SUM($B$82:L$82)/COUNT($B$82:L$82)</f>
        <v>#DIV/0!</v>
      </c>
      <c r="M83" s="4" t="e">
        <f>SUM($B$82:M$82)/COUNT($B$82:M$82)</f>
        <v>#DIV/0!</v>
      </c>
      <c r="N83" s="4"/>
      <c r="P83" t="s">
        <v>343</v>
      </c>
      <c r="Q83" s="335">
        <f>AVERAGE(Q79:Q82)</f>
        <v>0</v>
      </c>
      <c r="R83" s="335">
        <f t="shared" ref="R83" si="55">AVERAGE(R79:R82)</f>
        <v>0</v>
      </c>
      <c r="S83" s="335">
        <f t="shared" ref="S83" si="56">AVERAGE(S79:S82)</f>
        <v>0</v>
      </c>
      <c r="T83" s="335">
        <f t="shared" ref="T83" si="57">AVERAGE(T79:T82)</f>
        <v>0</v>
      </c>
      <c r="U83" s="335">
        <f t="shared" ref="U83" si="58">AVERAGE(U79:U82)</f>
        <v>0</v>
      </c>
      <c r="V83" s="335">
        <f t="shared" ref="V83" si="59">AVERAGE(V79:V82)</f>
        <v>0</v>
      </c>
      <c r="W83" s="335">
        <f t="shared" ref="W83" si="60">AVERAGE(W79:W82)</f>
        <v>0</v>
      </c>
      <c r="X83" s="335">
        <f t="shared" ref="X83" si="61">AVERAGE(X79:X82)</f>
        <v>0</v>
      </c>
      <c r="Y83" s="335">
        <f t="shared" ref="Y83" si="62">AVERAGE(Y79:Y82)</f>
        <v>0</v>
      </c>
      <c r="Z83" s="335">
        <f t="shared" ref="Z83" si="63">AVERAGE(Z79:Z82)</f>
        <v>0</v>
      </c>
      <c r="AA83" s="335">
        <f t="shared" ref="AA83" si="64">AVERAGE(AA79:AA82)</f>
        <v>0</v>
      </c>
      <c r="AB83" s="335">
        <f t="shared" ref="AB83" si="65">AVERAGE(AB79:AB82)</f>
        <v>0</v>
      </c>
      <c r="AC83" s="335">
        <f t="shared" ref="AC83" si="66">AVERAGE(AC79:AC82)</f>
        <v>0</v>
      </c>
    </row>
    <row r="84" spans="1:29" x14ac:dyDescent="0.25">
      <c r="A84" s="303"/>
      <c r="B84" s="305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</row>
    <row r="86" spans="1:29" x14ac:dyDescent="0.25">
      <c r="A86" s="6" t="s">
        <v>218</v>
      </c>
      <c r="B86" s="299" t="s">
        <v>240</v>
      </c>
      <c r="C86" s="299"/>
    </row>
    <row r="87" spans="1:29" s="307" customFormat="1" ht="60" x14ac:dyDescent="0.25">
      <c r="A87" s="283" t="s">
        <v>217</v>
      </c>
      <c r="B87" s="284" t="s">
        <v>29</v>
      </c>
      <c r="C87" s="284" t="s">
        <v>30</v>
      </c>
      <c r="D87" s="284" t="s">
        <v>31</v>
      </c>
      <c r="E87" s="284" t="s">
        <v>32</v>
      </c>
      <c r="F87" s="284" t="s">
        <v>33</v>
      </c>
      <c r="G87" s="284" t="s">
        <v>34</v>
      </c>
      <c r="H87" s="284" t="s">
        <v>35</v>
      </c>
      <c r="I87" s="284" t="s">
        <v>36</v>
      </c>
      <c r="J87" s="284" t="s">
        <v>37</v>
      </c>
      <c r="K87" s="284" t="s">
        <v>38</v>
      </c>
      <c r="L87" s="284" t="s">
        <v>39</v>
      </c>
      <c r="M87" s="284" t="s">
        <v>40</v>
      </c>
      <c r="N87" s="284" t="s">
        <v>95</v>
      </c>
      <c r="P87" s="333" t="s">
        <v>102</v>
      </c>
      <c r="Q87" s="284" t="s">
        <v>29</v>
      </c>
      <c r="R87" s="284" t="s">
        <v>30</v>
      </c>
      <c r="S87" s="284" t="s">
        <v>31</v>
      </c>
      <c r="T87" s="284" t="s">
        <v>32</v>
      </c>
      <c r="U87" s="284" t="s">
        <v>33</v>
      </c>
      <c r="V87" s="284" t="s">
        <v>34</v>
      </c>
      <c r="W87" s="284" t="s">
        <v>35</v>
      </c>
      <c r="X87" s="284" t="s">
        <v>36</v>
      </c>
      <c r="Y87" s="284" t="s">
        <v>37</v>
      </c>
      <c r="Z87" s="284" t="s">
        <v>38</v>
      </c>
      <c r="AA87" s="284" t="s">
        <v>39</v>
      </c>
      <c r="AB87" s="284" t="s">
        <v>40</v>
      </c>
      <c r="AC87" s="284" t="s">
        <v>95</v>
      </c>
    </row>
    <row r="88" spans="1:29" x14ac:dyDescent="0.25">
      <c r="A88" s="5" t="s">
        <v>41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>SUM(B88:M88)</f>
        <v>0</v>
      </c>
      <c r="P88" t="s">
        <v>339</v>
      </c>
      <c r="Q88" s="334">
        <f>'DB Dir Adm'!B58</f>
        <v>0</v>
      </c>
      <c r="R88" s="334">
        <f>'DB Dir Adm'!C58</f>
        <v>0</v>
      </c>
      <c r="S88" s="334">
        <f>'DB Dir Adm'!D58</f>
        <v>0</v>
      </c>
      <c r="T88" s="334">
        <f>'DB Dir Adm'!E58</f>
        <v>0</v>
      </c>
      <c r="U88" s="334">
        <f>'DB Dir Adm'!F58</f>
        <v>0</v>
      </c>
      <c r="V88" s="334">
        <f>'DB Dir Adm'!G58</f>
        <v>0</v>
      </c>
      <c r="W88" s="334">
        <f>'DB Dir Adm'!H58</f>
        <v>0</v>
      </c>
      <c r="X88" s="334">
        <f>'DB Dir Adm'!I58</f>
        <v>0</v>
      </c>
      <c r="Y88" s="334">
        <f>'DB Dir Adm'!J58</f>
        <v>0</v>
      </c>
      <c r="Z88" s="334">
        <f>'DB Dir Adm'!K58</f>
        <v>0</v>
      </c>
      <c r="AA88" s="334">
        <f>'DB Dir Adm'!L58</f>
        <v>0</v>
      </c>
      <c r="AB88" s="334">
        <f>'DB Dir Adm'!M58</f>
        <v>0</v>
      </c>
      <c r="AC88" s="334">
        <f>SUM(Q88:AB88)</f>
        <v>0</v>
      </c>
    </row>
    <row r="89" spans="1:29" x14ac:dyDescent="0.25">
      <c r="A89" s="5" t="s">
        <v>42</v>
      </c>
      <c r="B89" s="10">
        <f>Q92</f>
        <v>0</v>
      </c>
      <c r="C89" s="10">
        <f t="shared" ref="C89:M89" si="67">R92</f>
        <v>0</v>
      </c>
      <c r="D89" s="10">
        <f t="shared" si="67"/>
        <v>0</v>
      </c>
      <c r="E89" s="10">
        <v>0</v>
      </c>
      <c r="F89" s="10">
        <f t="shared" si="67"/>
        <v>0</v>
      </c>
      <c r="G89" s="10">
        <f t="shared" si="67"/>
        <v>0</v>
      </c>
      <c r="H89" s="10">
        <f t="shared" si="67"/>
        <v>0</v>
      </c>
      <c r="I89" s="10">
        <f t="shared" si="67"/>
        <v>0</v>
      </c>
      <c r="J89" s="10">
        <f t="shared" si="67"/>
        <v>0</v>
      </c>
      <c r="K89" s="10">
        <f t="shared" si="67"/>
        <v>0</v>
      </c>
      <c r="L89" s="10">
        <f t="shared" si="67"/>
        <v>0</v>
      </c>
      <c r="M89" s="10">
        <f t="shared" si="67"/>
        <v>0</v>
      </c>
      <c r="N89" s="10">
        <f>SUM(B89:M89)</f>
        <v>0</v>
      </c>
      <c r="P89" t="s">
        <v>340</v>
      </c>
      <c r="Q89" s="334">
        <f>'DB SLS &amp; MKT'!B119</f>
        <v>0</v>
      </c>
      <c r="R89" s="334">
        <f>'DB SLS &amp; MKT'!C119</f>
        <v>0</v>
      </c>
      <c r="S89" s="334">
        <f>'DB SLS &amp; MKT'!D119</f>
        <v>0</v>
      </c>
      <c r="T89" s="334">
        <f>'DB SLS &amp; MKT'!E119</f>
        <v>0</v>
      </c>
      <c r="U89" s="334">
        <f>'DB SLS &amp; MKT'!F119</f>
        <v>0</v>
      </c>
      <c r="V89" s="334">
        <f>'DB SLS &amp; MKT'!G119</f>
        <v>0</v>
      </c>
      <c r="W89" s="334">
        <f>'DB SLS &amp; MKT'!H119</f>
        <v>0</v>
      </c>
      <c r="X89" s="334">
        <f>'DB SLS &amp; MKT'!I119</f>
        <v>0</v>
      </c>
      <c r="Y89" s="334">
        <f>'DB SLS &amp; MKT'!J119</f>
        <v>0</v>
      </c>
      <c r="Z89" s="334">
        <f>'DB SLS &amp; MKT'!K119</f>
        <v>0</v>
      </c>
      <c r="AA89" s="334">
        <f>'DB SLS &amp; MKT'!L119</f>
        <v>0</v>
      </c>
      <c r="AB89" s="334">
        <f>'DB SLS &amp; MKT'!M119</f>
        <v>0</v>
      </c>
      <c r="AC89" s="334">
        <f t="shared" ref="AC89:AC91" si="68">SUM(Q89:AB89)</f>
        <v>0</v>
      </c>
    </row>
    <row r="90" spans="1:29" x14ac:dyDescent="0.25">
      <c r="A90" s="5" t="s">
        <v>96</v>
      </c>
      <c r="B90" s="10">
        <f>B89</f>
        <v>0</v>
      </c>
      <c r="C90" s="10">
        <f>SUM($B$89:C$89)</f>
        <v>0</v>
      </c>
      <c r="D90" s="10">
        <f>SUM($B$89:D$89)</f>
        <v>0</v>
      </c>
      <c r="E90" s="10">
        <f>SUM($B$89:E$89)</f>
        <v>0</v>
      </c>
      <c r="F90" s="10">
        <f>SUM($B$89:F$89)</f>
        <v>0</v>
      </c>
      <c r="G90" s="10">
        <f>SUM($B$89:G$89)</f>
        <v>0</v>
      </c>
      <c r="H90" s="10">
        <f>SUM($B$89:H$89)</f>
        <v>0</v>
      </c>
      <c r="I90" s="10">
        <f>SUM($B$89:I$89)</f>
        <v>0</v>
      </c>
      <c r="J90" s="10">
        <f>SUM($B$89:J$89)</f>
        <v>0</v>
      </c>
      <c r="K90" s="10">
        <f>SUM($B$89:K$89)</f>
        <v>0</v>
      </c>
      <c r="L90" s="10">
        <f>SUM($B$89:L$89)</f>
        <v>0</v>
      </c>
      <c r="M90" s="10">
        <f>SUM($B$89:M$89)</f>
        <v>0</v>
      </c>
      <c r="N90" s="10"/>
      <c r="P90" t="s">
        <v>341</v>
      </c>
      <c r="Q90" s="334">
        <f>'DB BusDev'!B110</f>
        <v>0</v>
      </c>
      <c r="R90" s="334">
        <f>'DB BusDev'!C110</f>
        <v>0</v>
      </c>
      <c r="S90" s="334">
        <f>'DB BusDev'!D110</f>
        <v>0</v>
      </c>
      <c r="T90" s="334">
        <f>'DB BusDev'!E110</f>
        <v>0</v>
      </c>
      <c r="U90" s="334">
        <f>'DB BusDev'!F110</f>
        <v>0</v>
      </c>
      <c r="V90" s="334">
        <f>'DB BusDev'!G110</f>
        <v>0</v>
      </c>
      <c r="W90" s="334">
        <f>'DB BusDev'!H110</f>
        <v>0</v>
      </c>
      <c r="X90" s="334">
        <f>'DB BusDev'!I110</f>
        <v>0</v>
      </c>
      <c r="Y90" s="334">
        <f>'DB BusDev'!J110</f>
        <v>0</v>
      </c>
      <c r="Z90" s="334">
        <f>'DB BusDev'!K110</f>
        <v>0</v>
      </c>
      <c r="AA90" s="334">
        <f>'DB BusDev'!L110</f>
        <v>0</v>
      </c>
      <c r="AB90" s="334">
        <f>'DB BusDev'!M110</f>
        <v>0</v>
      </c>
      <c r="AC90" s="334">
        <f t="shared" si="68"/>
        <v>0</v>
      </c>
    </row>
    <row r="91" spans="1:29" x14ac:dyDescent="0.25">
      <c r="A91" s="5" t="s">
        <v>43</v>
      </c>
      <c r="B91" s="8">
        <f t="shared" ref="B91:D91" si="69">IF(B89=0,1,B88/B89)</f>
        <v>1</v>
      </c>
      <c r="C91" s="8">
        <f t="shared" si="69"/>
        <v>1</v>
      </c>
      <c r="D91" s="8">
        <f t="shared" si="69"/>
        <v>1</v>
      </c>
      <c r="E91" s="8">
        <f>IF(E89=0,1,E88/E89)</f>
        <v>1</v>
      </c>
      <c r="F91" s="8">
        <f t="shared" ref="F91:N91" si="70">IF(F89=0,1,F88/F89)</f>
        <v>1</v>
      </c>
      <c r="G91" s="8">
        <f t="shared" si="70"/>
        <v>1</v>
      </c>
      <c r="H91" s="8">
        <f t="shared" si="70"/>
        <v>1</v>
      </c>
      <c r="I91" s="8">
        <f t="shared" si="70"/>
        <v>1</v>
      </c>
      <c r="J91" s="8">
        <f t="shared" si="70"/>
        <v>1</v>
      </c>
      <c r="K91" s="8">
        <f t="shared" si="70"/>
        <v>1</v>
      </c>
      <c r="L91" s="8">
        <f t="shared" si="70"/>
        <v>1</v>
      </c>
      <c r="M91" s="8">
        <f t="shared" si="70"/>
        <v>1</v>
      </c>
      <c r="N91" s="8">
        <f t="shared" si="70"/>
        <v>1</v>
      </c>
      <c r="P91" t="s">
        <v>342</v>
      </c>
      <c r="Q91" s="334">
        <f>'DB Dir Prod'!B104</f>
        <v>0</v>
      </c>
      <c r="R91" s="334">
        <f>'DB Dir Prod'!C104</f>
        <v>0</v>
      </c>
      <c r="S91" s="334">
        <f>'DB Dir Prod'!D104</f>
        <v>0</v>
      </c>
      <c r="T91" s="334">
        <f>'DB Dir Prod'!E104</f>
        <v>0</v>
      </c>
      <c r="U91" s="334">
        <f>'DB Dir Prod'!F104</f>
        <v>0</v>
      </c>
      <c r="V91" s="334">
        <f>'DB Dir Prod'!G104</f>
        <v>0</v>
      </c>
      <c r="W91" s="334">
        <f>'DB Dir Prod'!H104</f>
        <v>0</v>
      </c>
      <c r="X91" s="334">
        <f>'DB Dir Prod'!I104</f>
        <v>0</v>
      </c>
      <c r="Y91" s="334">
        <f>'DB Dir Prod'!J104</f>
        <v>0</v>
      </c>
      <c r="Z91" s="334">
        <f>'DB Dir Prod'!K104</f>
        <v>0</v>
      </c>
      <c r="AA91" s="334">
        <f>'DB Dir Prod'!L104</f>
        <v>0</v>
      </c>
      <c r="AB91" s="334">
        <f>'DB Dir Prod'!M104</f>
        <v>0</v>
      </c>
      <c r="AC91" s="334">
        <f t="shared" si="68"/>
        <v>0</v>
      </c>
    </row>
    <row r="92" spans="1:29" x14ac:dyDescent="0.25">
      <c r="A92" s="5" t="s">
        <v>44</v>
      </c>
      <c r="B92" s="4">
        <f>B91</f>
        <v>1</v>
      </c>
      <c r="C92" s="4">
        <f>SUM($B$91:C$91)/COUNT($B$91:C$91)</f>
        <v>1</v>
      </c>
      <c r="D92" s="4">
        <f>SUM($B$91:D$91)/COUNT($B$91:D$91)</f>
        <v>1</v>
      </c>
      <c r="E92" s="4">
        <f>SUM($B$91:E$91)/COUNT($B$91:E$91)</f>
        <v>1</v>
      </c>
      <c r="F92" s="4">
        <f>SUM($B$91:F$91)/COUNT($B$91:F$91)</f>
        <v>1</v>
      </c>
      <c r="G92" s="4">
        <f>SUM($B$91:G$91)/COUNT($B$91:G$91)</f>
        <v>1</v>
      </c>
      <c r="H92" s="4">
        <f>SUM($B$91:H$91)/COUNT($B$91:H$91)</f>
        <v>1</v>
      </c>
      <c r="I92" s="4">
        <f>SUM($B$91:I$91)/COUNT($B$91:I$91)</f>
        <v>1</v>
      </c>
      <c r="J92" s="4">
        <f>SUM($B$91:J$91)/COUNT($B$91:J$91)</f>
        <v>1</v>
      </c>
      <c r="K92" s="4">
        <f>SUM($B$91:K$91)/COUNT($B$91:K$91)</f>
        <v>1</v>
      </c>
      <c r="L92" s="4">
        <f>SUM($B$91:L$91)/COUNT($B$91:L$91)</f>
        <v>1</v>
      </c>
      <c r="M92" s="4">
        <f>SUM($B$91:M$91)/COUNT($B$91:M$91)</f>
        <v>1</v>
      </c>
      <c r="N92" s="4"/>
      <c r="P92" t="s">
        <v>343</v>
      </c>
      <c r="Q92" s="335">
        <f>SUM(Q88:Q91)</f>
        <v>0</v>
      </c>
      <c r="R92" s="335">
        <f t="shared" ref="R92:AC92" si="71">SUM(R88:R91)</f>
        <v>0</v>
      </c>
      <c r="S92" s="335">
        <f t="shared" si="71"/>
        <v>0</v>
      </c>
      <c r="T92" s="335">
        <f t="shared" si="71"/>
        <v>0</v>
      </c>
      <c r="U92" s="335">
        <f t="shared" si="71"/>
        <v>0</v>
      </c>
      <c r="V92" s="335">
        <f t="shared" si="71"/>
        <v>0</v>
      </c>
      <c r="W92" s="335">
        <f t="shared" si="71"/>
        <v>0</v>
      </c>
      <c r="X92" s="335">
        <f t="shared" si="71"/>
        <v>0</v>
      </c>
      <c r="Y92" s="335">
        <f t="shared" si="71"/>
        <v>0</v>
      </c>
      <c r="Z92" s="335">
        <f t="shared" si="71"/>
        <v>0</v>
      </c>
      <c r="AA92" s="335">
        <f t="shared" si="71"/>
        <v>0</v>
      </c>
      <c r="AB92" s="335">
        <f t="shared" si="71"/>
        <v>0</v>
      </c>
      <c r="AC92" s="335">
        <f t="shared" si="71"/>
        <v>0</v>
      </c>
    </row>
    <row r="95" spans="1:29" x14ac:dyDescent="0.25">
      <c r="A95" s="5" t="s">
        <v>20</v>
      </c>
      <c r="B95" s="284" t="s">
        <v>29</v>
      </c>
      <c r="C95" s="284" t="s">
        <v>30</v>
      </c>
      <c r="D95" s="284" t="s">
        <v>31</v>
      </c>
      <c r="E95" s="284" t="s">
        <v>32</v>
      </c>
      <c r="F95" s="284" t="s">
        <v>33</v>
      </c>
      <c r="G95" s="284" t="s">
        <v>34</v>
      </c>
      <c r="H95" s="284" t="s">
        <v>35</v>
      </c>
      <c r="I95" s="284" t="s">
        <v>36</v>
      </c>
      <c r="J95" s="284" t="s">
        <v>37</v>
      </c>
      <c r="K95" s="284" t="s">
        <v>38</v>
      </c>
      <c r="L95" s="284" t="s">
        <v>39</v>
      </c>
      <c r="M95" s="284" t="s">
        <v>40</v>
      </c>
      <c r="N95" s="284" t="s">
        <v>95</v>
      </c>
    </row>
    <row r="96" spans="1:29" x14ac:dyDescent="0.25">
      <c r="A96" s="5" t="s">
        <v>339</v>
      </c>
      <c r="B96" s="328"/>
      <c r="C96" s="328"/>
      <c r="D96" s="328">
        <v>10</v>
      </c>
      <c r="E96" s="328"/>
      <c r="F96" s="328"/>
      <c r="G96" s="328"/>
      <c r="H96" s="328"/>
      <c r="I96" s="328"/>
      <c r="J96" s="328"/>
      <c r="K96" s="328"/>
      <c r="L96" s="328"/>
      <c r="M96" s="328"/>
      <c r="N96" s="328">
        <f>SUM(B96:M96)</f>
        <v>10</v>
      </c>
    </row>
    <row r="97" spans="1:28" x14ac:dyDescent="0.25">
      <c r="A97" s="5" t="s">
        <v>340</v>
      </c>
      <c r="B97" s="328"/>
      <c r="C97" s="328"/>
      <c r="D97" s="328">
        <v>2</v>
      </c>
      <c r="E97" s="328"/>
      <c r="F97" s="328"/>
      <c r="G97" s="328"/>
      <c r="H97" s="328"/>
      <c r="I97" s="328"/>
      <c r="J97" s="328"/>
      <c r="K97" s="328"/>
      <c r="L97" s="328"/>
      <c r="M97" s="328"/>
      <c r="N97" s="328">
        <f t="shared" ref="N97:N99" si="72">SUM(B97:M97)</f>
        <v>2</v>
      </c>
    </row>
    <row r="98" spans="1:28" x14ac:dyDescent="0.25">
      <c r="A98" s="5" t="s">
        <v>341</v>
      </c>
      <c r="B98" s="328"/>
      <c r="C98" s="328"/>
      <c r="D98" s="328">
        <v>1</v>
      </c>
      <c r="E98" s="328"/>
      <c r="F98" s="328"/>
      <c r="G98" s="328"/>
      <c r="H98" s="328"/>
      <c r="I98" s="328"/>
      <c r="J98" s="328"/>
      <c r="K98" s="328"/>
      <c r="L98" s="328"/>
      <c r="M98" s="328"/>
      <c r="N98" s="328">
        <f t="shared" si="72"/>
        <v>1</v>
      </c>
    </row>
    <row r="99" spans="1:28" x14ac:dyDescent="0.25">
      <c r="A99" s="5" t="s">
        <v>342</v>
      </c>
      <c r="B99" s="328"/>
      <c r="C99" s="328"/>
      <c r="D99" s="328">
        <v>19</v>
      </c>
      <c r="E99" s="328"/>
      <c r="F99" s="328"/>
      <c r="G99" s="328"/>
      <c r="H99" s="328"/>
      <c r="I99" s="328"/>
      <c r="J99" s="328"/>
      <c r="K99" s="328"/>
      <c r="L99" s="328"/>
      <c r="M99" s="328"/>
      <c r="N99" s="328">
        <f t="shared" si="72"/>
        <v>19</v>
      </c>
    </row>
    <row r="100" spans="1:28" x14ac:dyDescent="0.25">
      <c r="A100" s="5" t="s">
        <v>343</v>
      </c>
      <c r="B100" s="10">
        <f t="shared" ref="B100:N100" si="73">SUM(B96:B99)</f>
        <v>0</v>
      </c>
      <c r="C100" s="10">
        <f t="shared" si="73"/>
        <v>0</v>
      </c>
      <c r="D100" s="10">
        <f t="shared" si="73"/>
        <v>32</v>
      </c>
      <c r="E100" s="10">
        <f t="shared" si="73"/>
        <v>0</v>
      </c>
      <c r="F100" s="10">
        <f t="shared" si="73"/>
        <v>0</v>
      </c>
      <c r="G100" s="10">
        <f t="shared" si="73"/>
        <v>0</v>
      </c>
      <c r="H100" s="10">
        <f t="shared" si="73"/>
        <v>0</v>
      </c>
      <c r="I100" s="10">
        <f t="shared" si="73"/>
        <v>0</v>
      </c>
      <c r="J100" s="10">
        <f t="shared" si="73"/>
        <v>0</v>
      </c>
      <c r="K100" s="10">
        <f t="shared" si="73"/>
        <v>0</v>
      </c>
      <c r="L100" s="10">
        <f t="shared" si="73"/>
        <v>0</v>
      </c>
      <c r="M100" s="10">
        <f t="shared" si="73"/>
        <v>0</v>
      </c>
      <c r="N100" s="10">
        <f t="shared" si="73"/>
        <v>32</v>
      </c>
    </row>
    <row r="101" spans="1:28" x14ac:dyDescent="0.25">
      <c r="A101" s="5" t="s">
        <v>343</v>
      </c>
      <c r="B101" s="10">
        <f>B100</f>
        <v>0</v>
      </c>
      <c r="C101" s="10">
        <f>SUM($B$100:C$100)</f>
        <v>0</v>
      </c>
      <c r="D101" s="10">
        <f>SUM($B$100:D$100)</f>
        <v>32</v>
      </c>
      <c r="E101" s="10">
        <f>SUM($B$100:E$100)</f>
        <v>32</v>
      </c>
      <c r="F101" s="10">
        <f>SUM($B$100:F$100)</f>
        <v>32</v>
      </c>
      <c r="G101" s="10">
        <f>SUM($B$100:G$100)</f>
        <v>32</v>
      </c>
      <c r="H101" s="10">
        <f>SUM($B$100:H$100)</f>
        <v>32</v>
      </c>
      <c r="I101" s="10">
        <f>SUM($B$100:I$100)</f>
        <v>32</v>
      </c>
      <c r="J101" s="10">
        <f>SUM($B$100:J$100)</f>
        <v>32</v>
      </c>
      <c r="K101" s="10">
        <f>SUM($B$100:K$100)</f>
        <v>32</v>
      </c>
      <c r="L101" s="10">
        <f>SUM($B$100:L$100)</f>
        <v>32</v>
      </c>
      <c r="M101" s="10">
        <f>SUM($B$100:M$100)</f>
        <v>32</v>
      </c>
      <c r="N101" s="10">
        <f>M101</f>
        <v>32</v>
      </c>
    </row>
    <row r="104" spans="1:28" x14ac:dyDescent="0.25">
      <c r="A104" s="5" t="s">
        <v>347</v>
      </c>
      <c r="B104" s="284" t="s">
        <v>29</v>
      </c>
      <c r="C104" s="284" t="s">
        <v>30</v>
      </c>
      <c r="D104" s="284" t="s">
        <v>31</v>
      </c>
      <c r="E104" s="284" t="s">
        <v>32</v>
      </c>
      <c r="F104" s="284" t="s">
        <v>33</v>
      </c>
      <c r="G104" s="284" t="s">
        <v>34</v>
      </c>
      <c r="H104" s="284" t="s">
        <v>35</v>
      </c>
      <c r="I104" s="284" t="s">
        <v>36</v>
      </c>
      <c r="J104" s="284" t="s">
        <v>37</v>
      </c>
      <c r="K104" s="284" t="s">
        <v>38</v>
      </c>
      <c r="L104" s="284" t="s">
        <v>39</v>
      </c>
      <c r="M104" s="284" t="s">
        <v>40</v>
      </c>
      <c r="N104" s="284" t="s">
        <v>95</v>
      </c>
    </row>
    <row r="105" spans="1:28" x14ac:dyDescent="0.25">
      <c r="A105" s="5" t="s">
        <v>339</v>
      </c>
      <c r="B105" s="328">
        <v>3</v>
      </c>
      <c r="C105" s="328">
        <v>1</v>
      </c>
      <c r="D105" s="328">
        <v>3</v>
      </c>
      <c r="E105" s="328">
        <v>2</v>
      </c>
      <c r="F105" s="328">
        <v>1</v>
      </c>
      <c r="G105" s="328">
        <v>3</v>
      </c>
      <c r="H105" s="328">
        <v>2</v>
      </c>
      <c r="I105" s="328">
        <v>0</v>
      </c>
      <c r="J105" s="328">
        <v>0</v>
      </c>
      <c r="K105" s="328">
        <v>0</v>
      </c>
      <c r="L105" s="328">
        <v>1</v>
      </c>
      <c r="M105" s="328">
        <v>0</v>
      </c>
      <c r="N105" s="328">
        <f>SUM(B105:M105)</f>
        <v>16</v>
      </c>
    </row>
    <row r="106" spans="1:28" x14ac:dyDescent="0.25">
      <c r="A106" s="5" t="s">
        <v>349</v>
      </c>
      <c r="B106" s="338">
        <v>3</v>
      </c>
      <c r="C106" s="338">
        <v>1.28</v>
      </c>
      <c r="D106" s="338">
        <v>1.59</v>
      </c>
      <c r="E106" s="338">
        <v>1.75</v>
      </c>
      <c r="F106" s="338">
        <v>4.07</v>
      </c>
      <c r="G106" s="338"/>
      <c r="H106" s="338"/>
      <c r="I106" s="338"/>
      <c r="J106" s="338"/>
      <c r="K106" s="338"/>
      <c r="L106" s="338"/>
      <c r="M106" s="338"/>
      <c r="N106" s="338">
        <f>SUM(B106:M106)</f>
        <v>11.690000000000001</v>
      </c>
    </row>
    <row r="107" spans="1:28" x14ac:dyDescent="0.25">
      <c r="A107" s="5" t="s">
        <v>348</v>
      </c>
      <c r="B107" s="339">
        <f>B106/B105</f>
        <v>1</v>
      </c>
      <c r="C107" s="339">
        <f t="shared" ref="C107:N107" si="74">C106/C105</f>
        <v>1.28</v>
      </c>
      <c r="D107" s="339">
        <f t="shared" si="74"/>
        <v>0.53</v>
      </c>
      <c r="E107" s="339">
        <f t="shared" si="74"/>
        <v>0.875</v>
      </c>
      <c r="F107" s="339">
        <f t="shared" si="74"/>
        <v>4.07</v>
      </c>
      <c r="G107" s="339">
        <f t="shared" si="74"/>
        <v>0</v>
      </c>
      <c r="H107" s="339">
        <f t="shared" si="74"/>
        <v>0</v>
      </c>
      <c r="I107" s="339" t="e">
        <f t="shared" si="74"/>
        <v>#DIV/0!</v>
      </c>
      <c r="J107" s="339" t="e">
        <f t="shared" si="74"/>
        <v>#DIV/0!</v>
      </c>
      <c r="K107" s="339" t="e">
        <f t="shared" si="74"/>
        <v>#DIV/0!</v>
      </c>
      <c r="L107" s="339">
        <f t="shared" si="74"/>
        <v>0</v>
      </c>
      <c r="M107" s="339" t="e">
        <f t="shared" si="74"/>
        <v>#DIV/0!</v>
      </c>
      <c r="N107" s="339">
        <f t="shared" si="74"/>
        <v>0.73062500000000008</v>
      </c>
    </row>
    <row r="110" spans="1:28" x14ac:dyDescent="0.25">
      <c r="A110" s="6" t="s">
        <v>365</v>
      </c>
      <c r="B110">
        <v>8</v>
      </c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</row>
    <row r="111" spans="1:28" ht="30" x14ac:dyDescent="0.25">
      <c r="A111" s="306" t="s">
        <v>366</v>
      </c>
      <c r="B111" s="378" t="s">
        <v>29</v>
      </c>
      <c r="C111" s="378" t="s">
        <v>30</v>
      </c>
      <c r="D111" s="378" t="s">
        <v>31</v>
      </c>
      <c r="E111" s="378" t="s">
        <v>32</v>
      </c>
      <c r="F111" s="378" t="s">
        <v>33</v>
      </c>
      <c r="G111" s="378" t="s">
        <v>34</v>
      </c>
      <c r="H111" s="378" t="s">
        <v>35</v>
      </c>
      <c r="I111" s="378" t="s">
        <v>36</v>
      </c>
      <c r="J111" s="378" t="s">
        <v>37</v>
      </c>
      <c r="K111" s="378" t="s">
        <v>38</v>
      </c>
      <c r="L111" s="378" t="s">
        <v>39</v>
      </c>
      <c r="M111" s="378" t="s">
        <v>40</v>
      </c>
      <c r="N111" s="284" t="s">
        <v>95</v>
      </c>
      <c r="O111" s="307"/>
      <c r="P111" s="285" t="s">
        <v>29</v>
      </c>
      <c r="Q111" s="285" t="s">
        <v>30</v>
      </c>
      <c r="R111" s="285" t="s">
        <v>31</v>
      </c>
      <c r="S111" s="285" t="s">
        <v>32</v>
      </c>
      <c r="T111" s="285" t="s">
        <v>33</v>
      </c>
      <c r="U111" s="285" t="s">
        <v>34</v>
      </c>
      <c r="V111" s="285" t="s">
        <v>35</v>
      </c>
      <c r="W111" s="285" t="s">
        <v>36</v>
      </c>
      <c r="X111" s="285" t="s">
        <v>37</v>
      </c>
      <c r="Y111" s="285" t="s">
        <v>38</v>
      </c>
      <c r="Z111" s="285" t="s">
        <v>39</v>
      </c>
      <c r="AA111" s="285" t="s">
        <v>40</v>
      </c>
      <c r="AB111" s="285" t="s">
        <v>95</v>
      </c>
    </row>
    <row r="112" spans="1:28" x14ac:dyDescent="0.25">
      <c r="A112" s="5" t="s">
        <v>42</v>
      </c>
      <c r="B112" s="375">
        <v>2</v>
      </c>
      <c r="C112" s="375">
        <v>1</v>
      </c>
      <c r="D112" s="375">
        <v>0</v>
      </c>
      <c r="E112" s="375">
        <v>1</v>
      </c>
      <c r="F112" s="375"/>
      <c r="G112" s="375"/>
      <c r="H112" s="375"/>
      <c r="I112" s="375"/>
      <c r="J112" s="375"/>
      <c r="K112" s="375"/>
      <c r="L112" s="375"/>
      <c r="M112" s="375"/>
      <c r="N112" s="375">
        <f>SUM(B112:M112)</f>
        <v>4</v>
      </c>
      <c r="P112" s="521" t="s">
        <v>367</v>
      </c>
      <c r="Q112" s="518">
        <v>0</v>
      </c>
      <c r="R112" s="518" t="s">
        <v>368</v>
      </c>
      <c r="S112" s="518" t="s">
        <v>369</v>
      </c>
      <c r="T112" s="518"/>
      <c r="U112" s="518"/>
      <c r="V112" s="518"/>
      <c r="W112" s="518"/>
      <c r="X112" s="518"/>
      <c r="Y112" s="518"/>
      <c r="Z112" s="518"/>
      <c r="AA112" s="518"/>
      <c r="AB112" s="518"/>
    </row>
    <row r="113" spans="1:28" x14ac:dyDescent="0.25">
      <c r="A113" s="5" t="s">
        <v>96</v>
      </c>
      <c r="B113" s="298">
        <f>B112</f>
        <v>2</v>
      </c>
      <c r="C113" s="298">
        <f>SUM($B$112:C$112)</f>
        <v>3</v>
      </c>
      <c r="D113" s="298">
        <f>SUM($B$112:D$112)</f>
        <v>3</v>
      </c>
      <c r="E113" s="298">
        <f>SUM($B$112:E$112)</f>
        <v>4</v>
      </c>
      <c r="F113" s="298">
        <f>SUM($B$112:F$112)</f>
        <v>4</v>
      </c>
      <c r="G113" s="298">
        <f>SUM($B$112:G$112)</f>
        <v>4</v>
      </c>
      <c r="H113" s="298">
        <f>SUM($B$112:H$112)</f>
        <v>4</v>
      </c>
      <c r="I113" s="298">
        <f>SUM($B$112:I$112)</f>
        <v>4</v>
      </c>
      <c r="J113" s="298">
        <f>SUM($B$112:J$112)</f>
        <v>4</v>
      </c>
      <c r="K113" s="298">
        <f>SUM($B$112:K$112)</f>
        <v>4</v>
      </c>
      <c r="L113" s="298">
        <f>SUM($B$112:L$112)</f>
        <v>4</v>
      </c>
      <c r="M113" s="298">
        <f>SUM($B$112:M$112)</f>
        <v>4</v>
      </c>
      <c r="N113" s="298">
        <f>M113</f>
        <v>4</v>
      </c>
      <c r="P113" s="521"/>
      <c r="Q113" s="518"/>
      <c r="R113" s="518"/>
      <c r="S113" s="518"/>
      <c r="T113" s="518"/>
      <c r="U113" s="518"/>
      <c r="V113" s="518"/>
      <c r="W113" s="518"/>
      <c r="X113" s="518"/>
      <c r="Y113" s="518"/>
      <c r="Z113" s="518"/>
      <c r="AA113" s="518"/>
      <c r="AB113" s="518"/>
    </row>
    <row r="114" spans="1:28" x14ac:dyDescent="0.25">
      <c r="A114" s="5" t="s">
        <v>370</v>
      </c>
      <c r="B114" s="8">
        <f>B112/$B$110</f>
        <v>0.25</v>
      </c>
      <c r="C114" s="8">
        <f t="shared" ref="C114:M114" si="75">C112/$B$110</f>
        <v>0.125</v>
      </c>
      <c r="D114" s="8">
        <f t="shared" si="75"/>
        <v>0</v>
      </c>
      <c r="E114" s="8">
        <f t="shared" si="75"/>
        <v>0.125</v>
      </c>
      <c r="F114" s="8">
        <f t="shared" si="75"/>
        <v>0</v>
      </c>
      <c r="G114" s="8">
        <f t="shared" si="75"/>
        <v>0</v>
      </c>
      <c r="H114" s="8">
        <f t="shared" si="75"/>
        <v>0</v>
      </c>
      <c r="I114" s="8">
        <f t="shared" si="75"/>
        <v>0</v>
      </c>
      <c r="J114" s="8">
        <f t="shared" si="75"/>
        <v>0</v>
      </c>
      <c r="K114" s="8">
        <f t="shared" si="75"/>
        <v>0</v>
      </c>
      <c r="L114" s="8">
        <f t="shared" si="75"/>
        <v>0</v>
      </c>
      <c r="M114" s="8">
        <f t="shared" si="75"/>
        <v>0</v>
      </c>
      <c r="N114" s="8">
        <f>N112/N113</f>
        <v>1</v>
      </c>
      <c r="P114" s="521"/>
      <c r="Q114" s="518"/>
      <c r="R114" s="518"/>
      <c r="S114" s="518"/>
      <c r="T114" s="518"/>
      <c r="U114" s="518"/>
      <c r="V114" s="518"/>
      <c r="W114" s="518"/>
      <c r="X114" s="518"/>
      <c r="Y114" s="518"/>
      <c r="Z114" s="518"/>
      <c r="AA114" s="518"/>
      <c r="AB114" s="518"/>
    </row>
    <row r="115" spans="1:28" x14ac:dyDescent="0.25">
      <c r="A115" s="5" t="s">
        <v>371</v>
      </c>
      <c r="B115" s="8">
        <f>B113/$B$110</f>
        <v>0.25</v>
      </c>
      <c r="C115" s="8">
        <f t="shared" ref="C115:M115" si="76">C113/$B$110</f>
        <v>0.375</v>
      </c>
      <c r="D115" s="8">
        <f t="shared" si="76"/>
        <v>0.375</v>
      </c>
      <c r="E115" s="8">
        <f t="shared" si="76"/>
        <v>0.5</v>
      </c>
      <c r="F115" s="8">
        <f t="shared" si="76"/>
        <v>0.5</v>
      </c>
      <c r="G115" s="8">
        <f t="shared" si="76"/>
        <v>0.5</v>
      </c>
      <c r="H115" s="8">
        <f t="shared" si="76"/>
        <v>0.5</v>
      </c>
      <c r="I115" s="8">
        <f t="shared" si="76"/>
        <v>0.5</v>
      </c>
      <c r="J115" s="8">
        <f t="shared" si="76"/>
        <v>0.5</v>
      </c>
      <c r="K115" s="8">
        <f t="shared" si="76"/>
        <v>0.5</v>
      </c>
      <c r="L115" s="8">
        <f t="shared" si="76"/>
        <v>0.5</v>
      </c>
      <c r="M115" s="8">
        <f t="shared" si="76"/>
        <v>0.5</v>
      </c>
      <c r="N115" s="8"/>
      <c r="P115" s="521"/>
      <c r="Q115" s="518"/>
      <c r="R115" s="518"/>
      <c r="S115" s="518"/>
      <c r="T115" s="518"/>
      <c r="U115" s="518"/>
      <c r="V115" s="518"/>
      <c r="W115" s="518"/>
      <c r="X115" s="518"/>
      <c r="Y115" s="518"/>
      <c r="Z115" s="518"/>
      <c r="AA115" s="518"/>
      <c r="AB115" s="518"/>
    </row>
    <row r="118" spans="1:28" x14ac:dyDescent="0.25">
      <c r="A118" s="6" t="s">
        <v>365</v>
      </c>
      <c r="B118">
        <v>5</v>
      </c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</row>
    <row r="119" spans="1:28" ht="45" x14ac:dyDescent="0.25">
      <c r="A119" s="306" t="s">
        <v>372</v>
      </c>
      <c r="B119" s="378" t="s">
        <v>29</v>
      </c>
      <c r="C119" s="378" t="s">
        <v>30</v>
      </c>
      <c r="D119" s="378" t="s">
        <v>31</v>
      </c>
      <c r="E119" s="378" t="s">
        <v>32</v>
      </c>
      <c r="F119" s="378" t="s">
        <v>33</v>
      </c>
      <c r="G119" s="378" t="s">
        <v>34</v>
      </c>
      <c r="H119" s="378" t="s">
        <v>35</v>
      </c>
      <c r="I119" s="378" t="s">
        <v>36</v>
      </c>
      <c r="J119" s="378" t="s">
        <v>37</v>
      </c>
      <c r="K119" s="378" t="s">
        <v>38</v>
      </c>
      <c r="L119" s="378" t="s">
        <v>39</v>
      </c>
      <c r="M119" s="378" t="s">
        <v>40</v>
      </c>
      <c r="N119" s="284" t="s">
        <v>95</v>
      </c>
      <c r="O119" s="307"/>
      <c r="P119" s="285" t="s">
        <v>29</v>
      </c>
      <c r="Q119" s="285" t="s">
        <v>30</v>
      </c>
      <c r="R119" s="285" t="s">
        <v>31</v>
      </c>
      <c r="S119" s="285" t="s">
        <v>32</v>
      </c>
      <c r="T119" s="285" t="s">
        <v>33</v>
      </c>
      <c r="U119" s="285" t="s">
        <v>34</v>
      </c>
      <c r="V119" s="285" t="s">
        <v>35</v>
      </c>
      <c r="W119" s="285" t="s">
        <v>36</v>
      </c>
      <c r="X119" s="285" t="s">
        <v>37</v>
      </c>
      <c r="Y119" s="285" t="s">
        <v>38</v>
      </c>
      <c r="Z119" s="285" t="s">
        <v>39</v>
      </c>
      <c r="AA119" s="285" t="s">
        <v>40</v>
      </c>
      <c r="AB119" s="285" t="s">
        <v>95</v>
      </c>
    </row>
    <row r="120" spans="1:28" ht="15.75" x14ac:dyDescent="0.25">
      <c r="A120" s="5" t="s">
        <v>42</v>
      </c>
      <c r="B120" s="379">
        <v>2</v>
      </c>
      <c r="C120" s="379">
        <v>0</v>
      </c>
      <c r="D120" s="379">
        <v>1</v>
      </c>
      <c r="E120" s="379">
        <v>0</v>
      </c>
      <c r="F120" s="379"/>
      <c r="G120" s="379"/>
      <c r="H120" s="379"/>
      <c r="I120" s="379"/>
      <c r="J120" s="379"/>
      <c r="K120" s="379"/>
      <c r="L120" s="379"/>
      <c r="M120" s="379"/>
      <c r="N120" s="375">
        <f>SUM(B120:M120)</f>
        <v>3</v>
      </c>
      <c r="P120" s="519" t="s">
        <v>373</v>
      </c>
      <c r="Q120" s="518">
        <v>0</v>
      </c>
      <c r="R120" s="520" t="s">
        <v>374</v>
      </c>
      <c r="S120" s="518"/>
      <c r="T120" s="518"/>
      <c r="U120" s="518"/>
      <c r="V120" s="518"/>
      <c r="W120" s="518"/>
      <c r="X120" s="518"/>
      <c r="Y120" s="518"/>
      <c r="Z120" s="518"/>
      <c r="AA120" s="518"/>
      <c r="AB120" s="518"/>
    </row>
    <row r="121" spans="1:28" x14ac:dyDescent="0.25">
      <c r="A121" s="5" t="s">
        <v>96</v>
      </c>
      <c r="B121" s="298">
        <f>B120</f>
        <v>2</v>
      </c>
      <c r="C121" s="298">
        <f>SUM($B$120:C$120)</f>
        <v>2</v>
      </c>
      <c r="D121" s="298">
        <f>SUM($B$120:D$120)</f>
        <v>3</v>
      </c>
      <c r="E121" s="298">
        <f>SUM($B$120:E$120)</f>
        <v>3</v>
      </c>
      <c r="F121" s="298">
        <f>SUM($B$120:F$120)</f>
        <v>3</v>
      </c>
      <c r="G121" s="298">
        <f>SUM($B$120:G$120)</f>
        <v>3</v>
      </c>
      <c r="H121" s="298">
        <f>SUM($B$120:H$120)</f>
        <v>3</v>
      </c>
      <c r="I121" s="298">
        <f>SUM($B$120:I$120)</f>
        <v>3</v>
      </c>
      <c r="J121" s="298">
        <f>SUM($B$120:J$120)</f>
        <v>3</v>
      </c>
      <c r="K121" s="298">
        <f>SUM($B$120:K$120)</f>
        <v>3</v>
      </c>
      <c r="L121" s="298">
        <f>SUM($B$120:L$120)</f>
        <v>3</v>
      </c>
      <c r="M121" s="298">
        <f>SUM($B$120:M$120)</f>
        <v>3</v>
      </c>
      <c r="N121" s="298">
        <f>M121</f>
        <v>3</v>
      </c>
      <c r="P121" s="519"/>
      <c r="Q121" s="518"/>
      <c r="R121" s="520"/>
      <c r="S121" s="518"/>
      <c r="T121" s="518"/>
      <c r="U121" s="518"/>
      <c r="V121" s="518"/>
      <c r="W121" s="518"/>
      <c r="X121" s="518"/>
      <c r="Y121" s="518"/>
      <c r="Z121" s="518"/>
      <c r="AA121" s="518"/>
      <c r="AB121" s="518"/>
    </row>
    <row r="122" spans="1:28" x14ac:dyDescent="0.25">
      <c r="A122" s="5" t="s">
        <v>370</v>
      </c>
      <c r="B122" s="8">
        <f>B120/$B$118</f>
        <v>0.4</v>
      </c>
      <c r="C122" s="8">
        <f t="shared" ref="C122:N122" si="77">C120/$B$118</f>
        <v>0</v>
      </c>
      <c r="D122" s="8">
        <f t="shared" si="77"/>
        <v>0.2</v>
      </c>
      <c r="E122" s="8">
        <f t="shared" si="77"/>
        <v>0</v>
      </c>
      <c r="F122" s="8">
        <f t="shared" si="77"/>
        <v>0</v>
      </c>
      <c r="G122" s="8">
        <f t="shared" si="77"/>
        <v>0</v>
      </c>
      <c r="H122" s="8">
        <f t="shared" si="77"/>
        <v>0</v>
      </c>
      <c r="I122" s="8">
        <f t="shared" si="77"/>
        <v>0</v>
      </c>
      <c r="J122" s="8">
        <f t="shared" si="77"/>
        <v>0</v>
      </c>
      <c r="K122" s="8">
        <f t="shared" si="77"/>
        <v>0</v>
      </c>
      <c r="L122" s="8">
        <f t="shared" si="77"/>
        <v>0</v>
      </c>
      <c r="M122" s="8">
        <f t="shared" si="77"/>
        <v>0</v>
      </c>
      <c r="N122" s="8">
        <f t="shared" si="77"/>
        <v>0.6</v>
      </c>
      <c r="P122" s="519"/>
      <c r="Q122" s="518"/>
      <c r="R122" s="520"/>
      <c r="S122" s="518"/>
      <c r="T122" s="518"/>
      <c r="U122" s="518"/>
      <c r="V122" s="518"/>
      <c r="W122" s="518"/>
      <c r="X122" s="518"/>
      <c r="Y122" s="518"/>
      <c r="Z122" s="518"/>
      <c r="AA122" s="518"/>
      <c r="AB122" s="518"/>
    </row>
    <row r="123" spans="1:28" x14ac:dyDescent="0.25">
      <c r="A123" s="5" t="s">
        <v>43</v>
      </c>
      <c r="B123" s="8">
        <f>B122</f>
        <v>0.4</v>
      </c>
      <c r="C123" s="8">
        <f>C121/$B$118</f>
        <v>0.4</v>
      </c>
      <c r="D123" s="8">
        <f t="shared" ref="D123:M123" si="78">D121/$B$118</f>
        <v>0.6</v>
      </c>
      <c r="E123" s="8">
        <f t="shared" si="78"/>
        <v>0.6</v>
      </c>
      <c r="F123" s="8">
        <f t="shared" si="78"/>
        <v>0.6</v>
      </c>
      <c r="G123" s="8">
        <f t="shared" si="78"/>
        <v>0.6</v>
      </c>
      <c r="H123" s="8">
        <f t="shared" si="78"/>
        <v>0.6</v>
      </c>
      <c r="I123" s="8">
        <f t="shared" si="78"/>
        <v>0.6</v>
      </c>
      <c r="J123" s="8">
        <f t="shared" si="78"/>
        <v>0.6</v>
      </c>
      <c r="K123" s="8">
        <f t="shared" si="78"/>
        <v>0.6</v>
      </c>
      <c r="L123" s="8">
        <f t="shared" si="78"/>
        <v>0.6</v>
      </c>
      <c r="M123" s="8">
        <f t="shared" si="78"/>
        <v>0.6</v>
      </c>
      <c r="N123" s="8"/>
      <c r="P123" s="519"/>
      <c r="Q123" s="518"/>
      <c r="R123" s="520"/>
      <c r="S123" s="518"/>
      <c r="T123" s="518"/>
      <c r="U123" s="518"/>
      <c r="V123" s="518"/>
      <c r="W123" s="518"/>
      <c r="X123" s="518"/>
      <c r="Y123" s="518"/>
      <c r="Z123" s="518"/>
      <c r="AA123" s="518"/>
      <c r="AB123" s="518"/>
    </row>
    <row r="126" spans="1:28" ht="30" x14ac:dyDescent="0.25">
      <c r="A126" s="283" t="s">
        <v>375</v>
      </c>
      <c r="B126" s="285" t="s">
        <v>29</v>
      </c>
      <c r="C126" s="285" t="s">
        <v>30</v>
      </c>
      <c r="D126" s="285" t="s">
        <v>31</v>
      </c>
      <c r="E126" s="285" t="s">
        <v>32</v>
      </c>
      <c r="F126" s="285" t="s">
        <v>33</v>
      </c>
      <c r="G126" s="285" t="s">
        <v>34</v>
      </c>
      <c r="H126" s="285" t="s">
        <v>35</v>
      </c>
      <c r="I126" s="285" t="s">
        <v>36</v>
      </c>
      <c r="J126" s="285" t="s">
        <v>37</v>
      </c>
      <c r="K126" s="285" t="s">
        <v>38</v>
      </c>
      <c r="L126" s="285" t="s">
        <v>39</v>
      </c>
      <c r="M126" s="285" t="s">
        <v>40</v>
      </c>
      <c r="N126" s="285" t="s">
        <v>95</v>
      </c>
    </row>
    <row r="127" spans="1:28" x14ac:dyDescent="0.25">
      <c r="A127" s="5" t="s">
        <v>41</v>
      </c>
      <c r="B127" s="374">
        <v>2E-3</v>
      </c>
      <c r="C127" s="374">
        <v>2E-3</v>
      </c>
      <c r="D127" s="374">
        <v>2E-3</v>
      </c>
      <c r="E127" s="374">
        <v>2E-3</v>
      </c>
      <c r="F127" s="374">
        <v>2E-3</v>
      </c>
      <c r="G127" s="374">
        <v>2E-3</v>
      </c>
      <c r="H127" s="374">
        <v>2E-3</v>
      </c>
      <c r="I127" s="374">
        <v>2E-3</v>
      </c>
      <c r="J127" s="374">
        <v>2E-3</v>
      </c>
      <c r="K127" s="374">
        <v>2E-3</v>
      </c>
      <c r="L127" s="374">
        <v>2E-3</v>
      </c>
      <c r="M127" s="374">
        <v>2E-3</v>
      </c>
      <c r="N127" s="374">
        <f>AVERAGE(B127:M127)</f>
        <v>2.0000000000000005E-3</v>
      </c>
    </row>
    <row r="128" spans="1:28" x14ac:dyDescent="0.25">
      <c r="A128" s="5" t="s">
        <v>42</v>
      </c>
      <c r="B128" s="9">
        <v>5.0000000000000001E-3</v>
      </c>
      <c r="C128" s="293">
        <v>3.0999999999999999E-3</v>
      </c>
      <c r="D128" s="293">
        <v>3.5000000000000001E-3</v>
      </c>
      <c r="E128" s="293">
        <v>4.8999999999999998E-3</v>
      </c>
      <c r="F128" s="9">
        <v>3.5999999999999999E-3</v>
      </c>
      <c r="G128" s="9">
        <v>4.1999999999999997E-3</v>
      </c>
      <c r="H128" s="9"/>
      <c r="I128" s="9"/>
      <c r="J128" s="9"/>
      <c r="K128" s="9"/>
      <c r="L128" s="9"/>
      <c r="M128" s="9"/>
      <c r="N128" s="9">
        <f>AVERAGE(B128:M128)</f>
        <v>4.0499999999999998E-3</v>
      </c>
    </row>
    <row r="129" spans="1:14" x14ac:dyDescent="0.25">
      <c r="A129" s="5" t="s">
        <v>370</v>
      </c>
      <c r="B129" s="4">
        <f t="shared" ref="B129:N129" si="79">IFERROR(B127/B128,0)</f>
        <v>0.4</v>
      </c>
      <c r="C129" s="4">
        <f t="shared" si="79"/>
        <v>0.64516129032258063</v>
      </c>
      <c r="D129" s="4">
        <f t="shared" si="79"/>
        <v>0.5714285714285714</v>
      </c>
      <c r="E129" s="4">
        <f t="shared" si="79"/>
        <v>0.40816326530612246</v>
      </c>
      <c r="F129" s="4">
        <f t="shared" si="79"/>
        <v>0.55555555555555558</v>
      </c>
      <c r="G129" s="4">
        <f t="shared" si="79"/>
        <v>0.47619047619047622</v>
      </c>
      <c r="H129" s="4">
        <f t="shared" si="79"/>
        <v>0</v>
      </c>
      <c r="I129" s="4">
        <f t="shared" si="79"/>
        <v>0</v>
      </c>
      <c r="J129" s="4">
        <f t="shared" si="79"/>
        <v>0</v>
      </c>
      <c r="K129" s="4">
        <f t="shared" si="79"/>
        <v>0</v>
      </c>
      <c r="L129" s="4">
        <f t="shared" si="79"/>
        <v>0</v>
      </c>
      <c r="M129" s="4">
        <f t="shared" si="79"/>
        <v>0</v>
      </c>
      <c r="N129" s="4">
        <f t="shared" si="79"/>
        <v>0.4938271604938273</v>
      </c>
    </row>
    <row r="133" spans="1:14" ht="30" x14ac:dyDescent="0.25">
      <c r="A133" s="283" t="s">
        <v>377</v>
      </c>
      <c r="B133" s="285" t="s">
        <v>29</v>
      </c>
      <c r="C133" s="285" t="s">
        <v>30</v>
      </c>
      <c r="D133" s="285" t="s">
        <v>31</v>
      </c>
      <c r="E133" s="285" t="s">
        <v>32</v>
      </c>
      <c r="F133" s="285" t="s">
        <v>33</v>
      </c>
      <c r="G133" s="285" t="s">
        <v>34</v>
      </c>
      <c r="H133" s="285" t="s">
        <v>35</v>
      </c>
      <c r="I133" s="285" t="s">
        <v>36</v>
      </c>
      <c r="J133" s="285" t="s">
        <v>37</v>
      </c>
      <c r="K133" s="285" t="s">
        <v>38</v>
      </c>
      <c r="L133" s="285" t="s">
        <v>39</v>
      </c>
      <c r="M133" s="285" t="s">
        <v>40</v>
      </c>
      <c r="N133" s="285" t="s">
        <v>95</v>
      </c>
    </row>
    <row r="134" spans="1:14" x14ac:dyDescent="0.25">
      <c r="A134" s="5" t="s">
        <v>41</v>
      </c>
      <c r="B134" s="10">
        <v>2800</v>
      </c>
      <c r="C134" s="10">
        <v>2800</v>
      </c>
      <c r="D134" s="10">
        <v>2800</v>
      </c>
      <c r="E134" s="10">
        <v>2800</v>
      </c>
      <c r="F134" s="10">
        <v>2800</v>
      </c>
      <c r="G134" s="10">
        <v>2800</v>
      </c>
      <c r="H134" s="10">
        <v>2800</v>
      </c>
      <c r="I134" s="10">
        <v>2800</v>
      </c>
      <c r="J134" s="10">
        <v>2800</v>
      </c>
      <c r="K134" s="10">
        <v>2800</v>
      </c>
      <c r="L134" s="10">
        <v>2800</v>
      </c>
      <c r="M134" s="10">
        <v>2800</v>
      </c>
      <c r="N134" s="10">
        <v>2800</v>
      </c>
    </row>
    <row r="135" spans="1:14" x14ac:dyDescent="0.25">
      <c r="A135" s="5" t="s">
        <v>42</v>
      </c>
      <c r="B135" s="389">
        <v>2648</v>
      </c>
      <c r="C135" s="389">
        <v>3028</v>
      </c>
      <c r="D135" s="389">
        <v>3064</v>
      </c>
      <c r="E135" s="389">
        <v>2571</v>
      </c>
      <c r="F135" s="389">
        <v>2733</v>
      </c>
      <c r="G135" s="389"/>
      <c r="H135" s="389"/>
      <c r="I135" s="389"/>
      <c r="J135" s="389"/>
      <c r="K135" s="389"/>
      <c r="L135" s="389"/>
      <c r="M135" s="389"/>
      <c r="N135" s="389">
        <f>AVERAGE(B135:M135)</f>
        <v>2808.8</v>
      </c>
    </row>
    <row r="136" spans="1:14" x14ac:dyDescent="0.25">
      <c r="A136" s="5" t="s">
        <v>370</v>
      </c>
      <c r="B136" s="4">
        <f>B135/B134</f>
        <v>0.94571428571428573</v>
      </c>
      <c r="C136" s="4">
        <f t="shared" ref="C136:N136" si="80">C135/C134</f>
        <v>1.0814285714285714</v>
      </c>
      <c r="D136" s="4">
        <f t="shared" si="80"/>
        <v>1.0942857142857143</v>
      </c>
      <c r="E136" s="4">
        <f t="shared" si="80"/>
        <v>0.91821428571428576</v>
      </c>
      <c r="F136" s="4">
        <f t="shared" si="80"/>
        <v>0.97607142857142859</v>
      </c>
      <c r="G136" s="4">
        <f t="shared" si="80"/>
        <v>0</v>
      </c>
      <c r="H136" s="4">
        <f t="shared" si="80"/>
        <v>0</v>
      </c>
      <c r="I136" s="4">
        <f t="shared" si="80"/>
        <v>0</v>
      </c>
      <c r="J136" s="4">
        <f t="shared" si="80"/>
        <v>0</v>
      </c>
      <c r="K136" s="4">
        <f t="shared" si="80"/>
        <v>0</v>
      </c>
      <c r="L136" s="4">
        <f t="shared" si="80"/>
        <v>0</v>
      </c>
      <c r="M136" s="4">
        <f t="shared" si="80"/>
        <v>0</v>
      </c>
      <c r="N136" s="4">
        <f t="shared" si="80"/>
        <v>1.0031428571428571</v>
      </c>
    </row>
    <row r="137" spans="1:14" x14ac:dyDescent="0.25">
      <c r="A137" s="5" t="s">
        <v>376</v>
      </c>
      <c r="B137" s="4">
        <f>B136</f>
        <v>0.94571428571428573</v>
      </c>
      <c r="C137" s="4">
        <f>IFERROR(SUM($B$69:C$69)/COUNT($B$69:C$69),0)</f>
        <v>0</v>
      </c>
      <c r="D137" s="4">
        <f>IFERROR(SUM($B$69:D$69)/COUNT($B$69:D$69),0)</f>
        <v>0</v>
      </c>
      <c r="E137" s="4">
        <f>IFERROR(SUM($B$69:E$69)/COUNT($B$69:E$69),0)</f>
        <v>0</v>
      </c>
      <c r="F137" s="4">
        <f>IFERROR(SUM($B$69:F$69)/COUNT($B$69:F$69),0)</f>
        <v>0</v>
      </c>
      <c r="G137" s="4">
        <f>IFERROR(SUM($B$69:G$69)/COUNT($B$69:G$69),0)</f>
        <v>0</v>
      </c>
      <c r="H137" s="4">
        <f>IFERROR(SUM($B$69:H$69)/COUNT($B$69:H$69),0)</f>
        <v>0</v>
      </c>
      <c r="I137" s="4">
        <f>IFERROR(SUM($B$69:I$69)/COUNT($B$69:I$69),0)</f>
        <v>0</v>
      </c>
      <c r="J137" s="4">
        <f>IFERROR(SUM($B$69:J$69)/COUNT($B$69:J$69),0)</f>
        <v>0</v>
      </c>
      <c r="K137" s="4">
        <f>IFERROR(SUM($B$69:K$69)/COUNT($B$69:K$69),0)</f>
        <v>0</v>
      </c>
      <c r="L137" s="4">
        <f>IFERROR(SUM($B$69:L$69)/COUNT($B$69:L$69),0)</f>
        <v>0</v>
      </c>
      <c r="M137" s="4">
        <f>IFERROR(SUM($B$69:M$69)/COUNT($B$69:M$69),0)</f>
        <v>0</v>
      </c>
      <c r="N137" s="4"/>
    </row>
    <row r="140" spans="1:14" x14ac:dyDescent="0.25">
      <c r="A140" s="283" t="s">
        <v>378</v>
      </c>
      <c r="B140" s="285" t="s">
        <v>29</v>
      </c>
      <c r="C140" s="285" t="s">
        <v>30</v>
      </c>
      <c r="D140" s="285" t="s">
        <v>31</v>
      </c>
      <c r="E140" s="285" t="s">
        <v>32</v>
      </c>
      <c r="F140" s="285" t="s">
        <v>33</v>
      </c>
      <c r="G140" s="285" t="s">
        <v>34</v>
      </c>
      <c r="H140" s="285" t="s">
        <v>35</v>
      </c>
      <c r="I140" s="285" t="s">
        <v>36</v>
      </c>
      <c r="J140" s="285" t="s">
        <v>37</v>
      </c>
      <c r="K140" s="285" t="s">
        <v>38</v>
      </c>
      <c r="L140" s="285" t="s">
        <v>39</v>
      </c>
      <c r="M140" s="285" t="s">
        <v>40</v>
      </c>
      <c r="N140" s="285" t="s">
        <v>95</v>
      </c>
    </row>
    <row r="141" spans="1:14" x14ac:dyDescent="0.25">
      <c r="A141" s="5" t="s">
        <v>41</v>
      </c>
      <c r="B141" s="320">
        <v>0.98</v>
      </c>
      <c r="C141" s="320">
        <v>0.98</v>
      </c>
      <c r="D141" s="320">
        <v>0.98</v>
      </c>
      <c r="E141" s="320">
        <v>0.98</v>
      </c>
      <c r="F141" s="320">
        <v>0.98</v>
      </c>
      <c r="G141" s="320">
        <v>0.98</v>
      </c>
      <c r="H141" s="320">
        <v>0.98</v>
      </c>
      <c r="I141" s="320">
        <v>0.98</v>
      </c>
      <c r="J141" s="320">
        <v>0.98</v>
      </c>
      <c r="K141" s="320">
        <v>0.98</v>
      </c>
      <c r="L141" s="320">
        <v>0.98</v>
      </c>
      <c r="M141" s="320">
        <v>0.98</v>
      </c>
      <c r="N141" s="320">
        <f>AVERAGE(B141:M141)</f>
        <v>0.98000000000000032</v>
      </c>
    </row>
    <row r="142" spans="1:14" x14ac:dyDescent="0.25">
      <c r="A142" s="5" t="s">
        <v>42</v>
      </c>
      <c r="B142" s="382">
        <v>0.96599999999999997</v>
      </c>
      <c r="C142" s="391">
        <v>0.96870000000000001</v>
      </c>
      <c r="D142" s="391">
        <v>0.97009999999999996</v>
      </c>
      <c r="E142" s="391">
        <v>0.96699999999999997</v>
      </c>
      <c r="F142" s="391">
        <v>0.97719999999999996</v>
      </c>
      <c r="G142" s="391"/>
      <c r="H142" s="391"/>
      <c r="I142" s="391"/>
      <c r="J142" s="391"/>
      <c r="K142" s="391"/>
      <c r="L142" s="391"/>
      <c r="M142" s="391"/>
      <c r="N142" s="391">
        <f>AVERAGE(B142:M142)</f>
        <v>0.9698</v>
      </c>
    </row>
    <row r="143" spans="1:14" x14ac:dyDescent="0.25">
      <c r="A143" s="5" t="s">
        <v>370</v>
      </c>
      <c r="B143" s="4">
        <f>B142/B141</f>
        <v>0.98571428571428565</v>
      </c>
      <c r="C143" s="4">
        <f t="shared" ref="C143:M143" si="81">C142/C141</f>
        <v>0.98846938775510207</v>
      </c>
      <c r="D143" s="4">
        <f t="shared" si="81"/>
        <v>0.9898979591836734</v>
      </c>
      <c r="E143" s="4">
        <f t="shared" si="81"/>
        <v>0.98673469387755097</v>
      </c>
      <c r="F143" s="4">
        <f t="shared" si="81"/>
        <v>0.99714285714285711</v>
      </c>
      <c r="G143" s="4">
        <f t="shared" si="81"/>
        <v>0</v>
      </c>
      <c r="H143" s="4">
        <f t="shared" si="81"/>
        <v>0</v>
      </c>
      <c r="I143" s="4">
        <f t="shared" si="81"/>
        <v>0</v>
      </c>
      <c r="J143" s="4">
        <f t="shared" si="81"/>
        <v>0</v>
      </c>
      <c r="K143" s="4">
        <f t="shared" si="81"/>
        <v>0</v>
      </c>
      <c r="L143" s="4">
        <f t="shared" si="81"/>
        <v>0</v>
      </c>
      <c r="M143" s="4">
        <f t="shared" si="81"/>
        <v>0</v>
      </c>
      <c r="N143" s="4">
        <f>N142/N141</f>
        <v>0.98959183673469353</v>
      </c>
    </row>
    <row r="146" spans="1:14" x14ac:dyDescent="0.25">
      <c r="A146" s="6" t="s">
        <v>379</v>
      </c>
    </row>
    <row r="147" spans="1:14" ht="30" x14ac:dyDescent="0.25">
      <c r="A147" s="385" t="s">
        <v>270</v>
      </c>
      <c r="B147" s="380" t="s">
        <v>29</v>
      </c>
      <c r="C147" s="380" t="s">
        <v>30</v>
      </c>
      <c r="D147" s="380" t="s">
        <v>31</v>
      </c>
      <c r="E147" s="380" t="s">
        <v>32</v>
      </c>
      <c r="F147" s="5" t="s">
        <v>33</v>
      </c>
      <c r="G147" s="5" t="s">
        <v>34</v>
      </c>
      <c r="H147" s="5" t="s">
        <v>35</v>
      </c>
      <c r="I147" s="5" t="s">
        <v>36</v>
      </c>
      <c r="J147" s="5" t="s">
        <v>37</v>
      </c>
      <c r="K147" s="5" t="s">
        <v>38</v>
      </c>
      <c r="L147" s="5" t="s">
        <v>39</v>
      </c>
      <c r="M147" s="5" t="s">
        <v>40</v>
      </c>
      <c r="N147" s="5" t="s">
        <v>95</v>
      </c>
    </row>
    <row r="148" spans="1:14" x14ac:dyDescent="0.25">
      <c r="A148" s="5" t="s">
        <v>41</v>
      </c>
      <c r="B148" s="10">
        <v>60</v>
      </c>
      <c r="C148" s="10">
        <v>60</v>
      </c>
      <c r="D148" s="10">
        <v>60</v>
      </c>
      <c r="E148" s="10">
        <v>60</v>
      </c>
      <c r="F148" s="10">
        <v>60</v>
      </c>
      <c r="G148" s="10">
        <v>60</v>
      </c>
      <c r="H148" s="10">
        <v>60</v>
      </c>
      <c r="I148" s="10">
        <v>60</v>
      </c>
      <c r="J148" s="10">
        <v>60</v>
      </c>
      <c r="K148" s="10">
        <v>60</v>
      </c>
      <c r="L148" s="10">
        <v>60</v>
      </c>
      <c r="M148" s="10">
        <v>60</v>
      </c>
      <c r="N148" s="10">
        <v>60</v>
      </c>
    </row>
    <row r="149" spans="1:14" x14ac:dyDescent="0.25">
      <c r="A149" s="5" t="s">
        <v>42</v>
      </c>
      <c r="B149" s="376">
        <v>66.849731320999993</v>
      </c>
      <c r="C149" s="376">
        <v>62.587582372</v>
      </c>
      <c r="D149" s="376">
        <v>63.832089582999998</v>
      </c>
      <c r="E149" s="376">
        <v>63.308282230000003</v>
      </c>
      <c r="F149" s="376">
        <v>62.971453394999997</v>
      </c>
      <c r="G149" s="370"/>
      <c r="H149" s="370"/>
      <c r="I149" s="370"/>
      <c r="J149" s="370"/>
      <c r="K149" s="370"/>
      <c r="L149" s="370"/>
      <c r="M149" s="370"/>
      <c r="N149" s="372">
        <f>IF(C150=TRUE,B149,IF(D150=TRUE,C149,IF(E150=TRUE,D149,IF(F150=TRUE,E149,IF(G150=TRUE,F149,IF(H150=TRUE,G149,IF(I150=TRUE,H149,IF(J150=TRUE,I149,IF(K150=TRUE,J149,IF(L150=TRUE,K149,IF(M150=TRUE,L149,M149)))))))))))</f>
        <v>62.971453394999997</v>
      </c>
    </row>
    <row r="150" spans="1:14" hidden="1" x14ac:dyDescent="0.25">
      <c r="A150" s="5"/>
      <c r="B150" s="383" t="b">
        <f>ISBLANK(B149)</f>
        <v>0</v>
      </c>
      <c r="C150" s="383" t="b">
        <f t="shared" ref="C150:M150" si="82">ISBLANK(C149)</f>
        <v>0</v>
      </c>
      <c r="D150" s="383" t="b">
        <f t="shared" si="82"/>
        <v>0</v>
      </c>
      <c r="E150" s="383" t="b">
        <f t="shared" si="82"/>
        <v>0</v>
      </c>
      <c r="F150" s="383" t="b">
        <f t="shared" si="82"/>
        <v>0</v>
      </c>
      <c r="G150" s="383" t="b">
        <f t="shared" si="82"/>
        <v>1</v>
      </c>
      <c r="H150" s="383" t="b">
        <f t="shared" si="82"/>
        <v>1</v>
      </c>
      <c r="I150" s="383" t="b">
        <f t="shared" si="82"/>
        <v>1</v>
      </c>
      <c r="J150" s="383" t="b">
        <f t="shared" si="82"/>
        <v>1</v>
      </c>
      <c r="K150" s="383" t="b">
        <f t="shared" si="82"/>
        <v>1</v>
      </c>
      <c r="L150" s="383" t="b">
        <f t="shared" si="82"/>
        <v>1</v>
      </c>
      <c r="M150" s="383" t="b">
        <f t="shared" si="82"/>
        <v>1</v>
      </c>
      <c r="N150" s="381"/>
    </row>
    <row r="151" spans="1:14" x14ac:dyDescent="0.25">
      <c r="A151" s="5" t="s">
        <v>370</v>
      </c>
      <c r="B151" s="384">
        <f>IFERROR(B148/B149,0)</f>
        <v>0.89753539489771683</v>
      </c>
      <c r="C151" s="384">
        <f t="shared" ref="C151:N151" si="83">IFERROR(C148/C149,0)</f>
        <v>0.95865661727241258</v>
      </c>
      <c r="D151" s="384">
        <f t="shared" si="83"/>
        <v>0.93996609529730046</v>
      </c>
      <c r="E151" s="384">
        <f t="shared" si="83"/>
        <v>0.94774329497709386</v>
      </c>
      <c r="F151" s="384">
        <f t="shared" si="83"/>
        <v>0.95281269154832726</v>
      </c>
      <c r="G151" s="384">
        <f t="shared" si="83"/>
        <v>0</v>
      </c>
      <c r="H151" s="384">
        <f t="shared" si="83"/>
        <v>0</v>
      </c>
      <c r="I151" s="384">
        <f t="shared" si="83"/>
        <v>0</v>
      </c>
      <c r="J151" s="384">
        <f t="shared" si="83"/>
        <v>0</v>
      </c>
      <c r="K151" s="384">
        <f t="shared" si="83"/>
        <v>0</v>
      </c>
      <c r="L151" s="384">
        <f t="shared" si="83"/>
        <v>0</v>
      </c>
      <c r="M151" s="384">
        <f t="shared" si="83"/>
        <v>0</v>
      </c>
      <c r="N151" s="384">
        <f t="shared" si="83"/>
        <v>0.95281269154832726</v>
      </c>
    </row>
    <row r="154" spans="1:14" x14ac:dyDescent="0.25">
      <c r="A154" s="6" t="s">
        <v>379</v>
      </c>
    </row>
    <row r="155" spans="1:14" x14ac:dyDescent="0.25">
      <c r="A155" s="5" t="s">
        <v>380</v>
      </c>
      <c r="B155" s="380" t="s">
        <v>29</v>
      </c>
      <c r="C155" s="380" t="s">
        <v>30</v>
      </c>
      <c r="D155" s="380" t="s">
        <v>31</v>
      </c>
      <c r="E155" s="380" t="s">
        <v>32</v>
      </c>
      <c r="F155" s="5" t="s">
        <v>33</v>
      </c>
      <c r="G155" s="5" t="s">
        <v>34</v>
      </c>
      <c r="H155" s="5" t="s">
        <v>35</v>
      </c>
      <c r="I155" s="5" t="s">
        <v>36</v>
      </c>
      <c r="J155" s="5" t="s">
        <v>37</v>
      </c>
      <c r="K155" s="5" t="s">
        <v>38</v>
      </c>
      <c r="L155" s="5" t="s">
        <v>39</v>
      </c>
      <c r="M155" s="5" t="s">
        <v>40</v>
      </c>
      <c r="N155" s="5" t="s">
        <v>95</v>
      </c>
    </row>
    <row r="156" spans="1:14" x14ac:dyDescent="0.25">
      <c r="A156" s="5" t="s">
        <v>41</v>
      </c>
      <c r="B156" s="298">
        <v>0</v>
      </c>
      <c r="C156" s="298">
        <v>0</v>
      </c>
      <c r="D156" s="298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x14ac:dyDescent="0.25">
      <c r="A157" s="5" t="s">
        <v>42</v>
      </c>
      <c r="B157" s="389">
        <v>440.82784400000003</v>
      </c>
      <c r="C157" s="389">
        <v>1227.7751169999999</v>
      </c>
      <c r="D157" s="389">
        <v>290.528051</v>
      </c>
      <c r="E157" s="389">
        <v>272.683539</v>
      </c>
      <c r="F157" s="389">
        <v>273.74698999999998</v>
      </c>
      <c r="G157" s="375"/>
      <c r="H157" s="375"/>
      <c r="I157" s="375"/>
      <c r="J157" s="375"/>
      <c r="K157" s="375"/>
      <c r="L157" s="375"/>
      <c r="M157" s="375"/>
      <c r="N157" s="375"/>
    </row>
    <row r="158" spans="1:14" x14ac:dyDescent="0.25">
      <c r="A158" s="5" t="s">
        <v>370</v>
      </c>
      <c r="B158" s="8">
        <f>IFERROR(B156/B157,0)</f>
        <v>0</v>
      </c>
      <c r="C158" s="8">
        <f t="shared" ref="C158:N158" si="84">IFERROR(C156/C157,0)</f>
        <v>0</v>
      </c>
      <c r="D158" s="8">
        <f t="shared" si="84"/>
        <v>0</v>
      </c>
      <c r="E158" s="8">
        <f t="shared" si="84"/>
        <v>0</v>
      </c>
      <c r="F158" s="8">
        <f t="shared" si="84"/>
        <v>0</v>
      </c>
      <c r="G158" s="8">
        <f t="shared" si="84"/>
        <v>0</v>
      </c>
      <c r="H158" s="8">
        <f t="shared" si="84"/>
        <v>0</v>
      </c>
      <c r="I158" s="8">
        <f t="shared" si="84"/>
        <v>0</v>
      </c>
      <c r="J158" s="8">
        <f t="shared" si="84"/>
        <v>0</v>
      </c>
      <c r="K158" s="8">
        <f t="shared" si="84"/>
        <v>0</v>
      </c>
      <c r="L158" s="8">
        <f t="shared" si="84"/>
        <v>0</v>
      </c>
      <c r="M158" s="8">
        <f t="shared" si="84"/>
        <v>0</v>
      </c>
      <c r="N158" s="8">
        <f t="shared" si="84"/>
        <v>0</v>
      </c>
    </row>
    <row r="161" spans="1:14" x14ac:dyDescent="0.25">
      <c r="A161" s="5" t="s">
        <v>381</v>
      </c>
      <c r="B161" s="5" t="s">
        <v>29</v>
      </c>
      <c r="C161" s="5" t="s">
        <v>30</v>
      </c>
      <c r="D161" s="5" t="s">
        <v>31</v>
      </c>
      <c r="E161" s="5" t="s">
        <v>32</v>
      </c>
      <c r="F161" s="5" t="s">
        <v>33</v>
      </c>
      <c r="G161" s="5" t="s">
        <v>34</v>
      </c>
      <c r="H161" s="5" t="s">
        <v>35</v>
      </c>
      <c r="I161" s="5" t="s">
        <v>36</v>
      </c>
      <c r="J161" s="5" t="s">
        <v>37</v>
      </c>
      <c r="K161" s="5" t="s">
        <v>38</v>
      </c>
      <c r="L161" s="5" t="s">
        <v>39</v>
      </c>
      <c r="M161" s="5" t="s">
        <v>40</v>
      </c>
      <c r="N161" s="5" t="s">
        <v>95</v>
      </c>
    </row>
    <row r="162" spans="1:14" x14ac:dyDescent="0.25">
      <c r="A162" s="5" t="s">
        <v>382</v>
      </c>
      <c r="B162" s="4">
        <v>1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</row>
    <row r="163" spans="1:14" x14ac:dyDescent="0.25">
      <c r="A163" s="5" t="s">
        <v>42</v>
      </c>
      <c r="B163" s="4">
        <v>1</v>
      </c>
      <c r="C163" s="4">
        <v>1</v>
      </c>
      <c r="D163" s="4">
        <v>1</v>
      </c>
      <c r="E163" s="4">
        <v>1</v>
      </c>
      <c r="F163" s="393">
        <v>0.6</v>
      </c>
      <c r="G163" s="393"/>
      <c r="H163" s="393"/>
      <c r="I163" s="393"/>
      <c r="J163" s="393"/>
      <c r="K163" s="393"/>
      <c r="L163" s="393"/>
      <c r="M163" s="393"/>
      <c r="N163" s="393">
        <f>AVERAGE(B163:M163)</f>
        <v>0.91999999999999993</v>
      </c>
    </row>
    <row r="166" spans="1:14" x14ac:dyDescent="0.25">
      <c r="A166" s="6" t="s">
        <v>383</v>
      </c>
      <c r="B166" s="371"/>
      <c r="C166" s="371"/>
    </row>
    <row r="167" spans="1:14" x14ac:dyDescent="0.25">
      <c r="A167" s="6" t="s">
        <v>384</v>
      </c>
      <c r="B167" s="285" t="s">
        <v>29</v>
      </c>
      <c r="C167" s="285" t="s">
        <v>30</v>
      </c>
      <c r="D167" s="285" t="s">
        <v>31</v>
      </c>
      <c r="E167" s="285" t="s">
        <v>32</v>
      </c>
      <c r="F167" s="285" t="s">
        <v>33</v>
      </c>
      <c r="G167" s="285" t="s">
        <v>34</v>
      </c>
      <c r="H167" s="285" t="s">
        <v>35</v>
      </c>
      <c r="I167" s="285" t="s">
        <v>36</v>
      </c>
      <c r="J167" s="285" t="s">
        <v>37</v>
      </c>
      <c r="K167" s="285" t="s">
        <v>38</v>
      </c>
      <c r="L167" s="285" t="s">
        <v>39</v>
      </c>
      <c r="M167" s="285" t="s">
        <v>40</v>
      </c>
      <c r="N167" s="285" t="s">
        <v>95</v>
      </c>
    </row>
    <row r="168" spans="1:14" x14ac:dyDescent="0.25">
      <c r="A168" s="5" t="s">
        <v>41</v>
      </c>
      <c r="B168" s="298">
        <v>0</v>
      </c>
      <c r="C168" s="298">
        <v>0</v>
      </c>
      <c r="D168" s="298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f>SUM(B168:M168)</f>
        <v>0</v>
      </c>
    </row>
    <row r="169" spans="1:14" x14ac:dyDescent="0.25">
      <c r="A169" s="5" t="s">
        <v>42</v>
      </c>
      <c r="B169" s="375">
        <v>0</v>
      </c>
      <c r="C169" s="375">
        <v>0</v>
      </c>
      <c r="D169" s="375">
        <v>0</v>
      </c>
      <c r="E169" s="375">
        <v>0</v>
      </c>
      <c r="F169" s="375">
        <v>0</v>
      </c>
      <c r="G169" s="375"/>
      <c r="H169" s="375"/>
      <c r="I169" s="375"/>
      <c r="J169" s="375"/>
      <c r="K169" s="375"/>
      <c r="L169" s="375"/>
      <c r="M169" s="375"/>
      <c r="N169" s="375">
        <f>SUM(B169:M169)</f>
        <v>0</v>
      </c>
    </row>
    <row r="170" spans="1:14" x14ac:dyDescent="0.25">
      <c r="A170" s="5" t="s">
        <v>370</v>
      </c>
      <c r="B170" s="8">
        <f>IF(B169=0,1,B168/B169)</f>
        <v>1</v>
      </c>
      <c r="C170" s="8">
        <f t="shared" ref="C170:N170" si="85">IF(C169=0,1,C168/C169)</f>
        <v>1</v>
      </c>
      <c r="D170" s="8">
        <f t="shared" si="85"/>
        <v>1</v>
      </c>
      <c r="E170" s="8">
        <f t="shared" si="85"/>
        <v>1</v>
      </c>
      <c r="F170" s="8">
        <f t="shared" si="85"/>
        <v>1</v>
      </c>
      <c r="G170" s="8">
        <f t="shared" si="85"/>
        <v>1</v>
      </c>
      <c r="H170" s="8">
        <f t="shared" si="85"/>
        <v>1</v>
      </c>
      <c r="I170" s="8">
        <f t="shared" si="85"/>
        <v>1</v>
      </c>
      <c r="J170" s="8">
        <f t="shared" si="85"/>
        <v>1</v>
      </c>
      <c r="K170" s="8">
        <f t="shared" si="85"/>
        <v>1</v>
      </c>
      <c r="L170" s="8">
        <f t="shared" si="85"/>
        <v>1</v>
      </c>
      <c r="M170" s="8">
        <f t="shared" si="85"/>
        <v>1</v>
      </c>
      <c r="N170" s="8">
        <f t="shared" si="85"/>
        <v>1</v>
      </c>
    </row>
    <row r="173" spans="1:14" ht="30" x14ac:dyDescent="0.25">
      <c r="A173" s="306" t="s">
        <v>228</v>
      </c>
      <c r="B173" s="284" t="s">
        <v>29</v>
      </c>
      <c r="C173" s="284" t="s">
        <v>30</v>
      </c>
      <c r="D173" s="284" t="s">
        <v>31</v>
      </c>
      <c r="E173" s="284" t="s">
        <v>32</v>
      </c>
      <c r="F173" s="284" t="s">
        <v>33</v>
      </c>
      <c r="G173" s="284" t="s">
        <v>34</v>
      </c>
      <c r="H173" s="284" t="s">
        <v>35</v>
      </c>
      <c r="I173" s="284" t="s">
        <v>36</v>
      </c>
      <c r="J173" s="284" t="s">
        <v>37</v>
      </c>
      <c r="K173" s="284" t="s">
        <v>38</v>
      </c>
      <c r="L173" s="284" t="s">
        <v>39</v>
      </c>
      <c r="M173" s="284" t="s">
        <v>40</v>
      </c>
      <c r="N173" s="284" t="s">
        <v>95</v>
      </c>
    </row>
    <row r="174" spans="1:14" x14ac:dyDescent="0.25">
      <c r="A174" s="5" t="s">
        <v>385</v>
      </c>
      <c r="B174" s="387">
        <f>IF(OR(B177=FALSE,B180&gt;0),1,0)</f>
        <v>0</v>
      </c>
      <c r="C174" s="387">
        <f t="shared" ref="C174:N174" si="86">IF(OR(C177=FALSE,C180&gt;0),1,0)</f>
        <v>0</v>
      </c>
      <c r="D174" s="387">
        <f t="shared" si="86"/>
        <v>0</v>
      </c>
      <c r="E174" s="387">
        <f t="shared" si="86"/>
        <v>1</v>
      </c>
      <c r="F174" s="387">
        <f t="shared" si="86"/>
        <v>1</v>
      </c>
      <c r="G174" s="387">
        <f t="shared" si="86"/>
        <v>0</v>
      </c>
      <c r="H174" s="387">
        <f t="shared" si="86"/>
        <v>0</v>
      </c>
      <c r="I174" s="387">
        <f t="shared" si="86"/>
        <v>0</v>
      </c>
      <c r="J174" s="387">
        <f t="shared" si="86"/>
        <v>0</v>
      </c>
      <c r="K174" s="387">
        <f t="shared" si="86"/>
        <v>0</v>
      </c>
      <c r="L174" s="387">
        <f t="shared" si="86"/>
        <v>0</v>
      </c>
      <c r="M174" s="387">
        <f t="shared" si="86"/>
        <v>0</v>
      </c>
      <c r="N174" s="387">
        <f t="shared" si="86"/>
        <v>1</v>
      </c>
    </row>
    <row r="175" spans="1:14" x14ac:dyDescent="0.25">
      <c r="A175" s="5" t="s">
        <v>386</v>
      </c>
      <c r="B175" s="386">
        <v>0</v>
      </c>
      <c r="C175" s="386">
        <v>0</v>
      </c>
      <c r="D175" s="386">
        <v>0</v>
      </c>
      <c r="E175" s="386">
        <v>0</v>
      </c>
      <c r="F175" s="386">
        <v>0</v>
      </c>
      <c r="G175" s="386">
        <v>0</v>
      </c>
      <c r="H175" s="386">
        <v>0</v>
      </c>
      <c r="I175" s="386">
        <v>0</v>
      </c>
      <c r="J175" s="386">
        <v>0</v>
      </c>
      <c r="K175" s="386">
        <v>0</v>
      </c>
      <c r="L175" s="386">
        <v>0</v>
      </c>
      <c r="M175" s="386">
        <v>0</v>
      </c>
      <c r="N175" s="386">
        <v>0</v>
      </c>
    </row>
    <row r="176" spans="1:14" x14ac:dyDescent="0.25">
      <c r="A176" s="5" t="s">
        <v>387</v>
      </c>
      <c r="B176" s="10">
        <v>10</v>
      </c>
      <c r="C176" s="10">
        <v>10</v>
      </c>
      <c r="D176" s="10">
        <v>10</v>
      </c>
      <c r="E176" s="10">
        <v>10</v>
      </c>
      <c r="F176" s="10">
        <v>10</v>
      </c>
      <c r="G176" s="10">
        <v>10</v>
      </c>
      <c r="H176" s="10">
        <v>10</v>
      </c>
      <c r="I176" s="10">
        <v>10</v>
      </c>
      <c r="J176" s="10">
        <v>10</v>
      </c>
      <c r="K176" s="10">
        <v>10</v>
      </c>
      <c r="L176" s="10">
        <v>10</v>
      </c>
      <c r="M176" s="10">
        <v>10</v>
      </c>
      <c r="N176" s="10">
        <v>10</v>
      </c>
    </row>
    <row r="177" spans="1:14" x14ac:dyDescent="0.25">
      <c r="A177" s="5" t="s">
        <v>388</v>
      </c>
      <c r="B177" s="10" t="b">
        <f>ISBLANK(B178)</f>
        <v>1</v>
      </c>
      <c r="C177" s="10" t="b">
        <f t="shared" ref="C177:N177" si="87">ISBLANK(C178)</f>
        <v>1</v>
      </c>
      <c r="D177" s="10" t="b">
        <f t="shared" si="87"/>
        <v>1</v>
      </c>
      <c r="E177" s="10" t="b">
        <f t="shared" si="87"/>
        <v>0</v>
      </c>
      <c r="F177" s="10" t="b">
        <f t="shared" si="87"/>
        <v>1</v>
      </c>
      <c r="G177" s="10" t="b">
        <f t="shared" si="87"/>
        <v>1</v>
      </c>
      <c r="H177" s="10" t="b">
        <f t="shared" si="87"/>
        <v>1</v>
      </c>
      <c r="I177" s="10" t="b">
        <f t="shared" si="87"/>
        <v>1</v>
      </c>
      <c r="J177" s="10" t="b">
        <f t="shared" si="87"/>
        <v>1</v>
      </c>
      <c r="K177" s="10" t="b">
        <f t="shared" si="87"/>
        <v>1</v>
      </c>
      <c r="L177" s="10" t="b">
        <f t="shared" si="87"/>
        <v>1</v>
      </c>
      <c r="M177" s="10" t="b">
        <f t="shared" si="87"/>
        <v>1</v>
      </c>
      <c r="N177" s="10" t="b">
        <f t="shared" si="87"/>
        <v>0</v>
      </c>
    </row>
    <row r="178" spans="1:14" x14ac:dyDescent="0.25">
      <c r="A178" s="5" t="s">
        <v>389</v>
      </c>
      <c r="B178" s="388"/>
      <c r="C178" s="388"/>
      <c r="D178" s="388"/>
      <c r="E178" s="388">
        <v>4</v>
      </c>
      <c r="F178" s="388"/>
      <c r="G178" s="388"/>
      <c r="H178" s="388"/>
      <c r="I178" s="388"/>
      <c r="J178" s="388"/>
      <c r="K178" s="388"/>
      <c r="L178" s="388"/>
      <c r="M178" s="388"/>
      <c r="N178" s="390">
        <f>SUM(B178:M178)</f>
        <v>4</v>
      </c>
    </row>
    <row r="179" spans="1:14" x14ac:dyDescent="0.25">
      <c r="A179" s="5" t="s">
        <v>390</v>
      </c>
      <c r="B179" s="392">
        <f>IF(B177=TRUE,0,(IF(B178=0,1,0)))</f>
        <v>0</v>
      </c>
      <c r="C179" s="392">
        <f t="shared" ref="C179:N179" si="88">IF(C177=TRUE,0,(IF(C178=0,1,0)))</f>
        <v>0</v>
      </c>
      <c r="D179" s="392">
        <f t="shared" si="88"/>
        <v>0</v>
      </c>
      <c r="E179" s="392">
        <f t="shared" si="88"/>
        <v>0</v>
      </c>
      <c r="F179" s="392">
        <f t="shared" si="88"/>
        <v>0</v>
      </c>
      <c r="G179" s="392">
        <f t="shared" si="88"/>
        <v>0</v>
      </c>
      <c r="H179" s="392">
        <f t="shared" si="88"/>
        <v>0</v>
      </c>
      <c r="I179" s="392">
        <f t="shared" si="88"/>
        <v>0</v>
      </c>
      <c r="J179" s="392">
        <f t="shared" si="88"/>
        <v>0</v>
      </c>
      <c r="K179" s="392">
        <f t="shared" si="88"/>
        <v>0</v>
      </c>
      <c r="L179" s="392">
        <f t="shared" si="88"/>
        <v>0</v>
      </c>
      <c r="M179" s="392">
        <f t="shared" si="88"/>
        <v>0</v>
      </c>
      <c r="N179" s="392">
        <f t="shared" si="88"/>
        <v>0</v>
      </c>
    </row>
    <row r="180" spans="1:14" x14ac:dyDescent="0.25">
      <c r="A180" s="5" t="s">
        <v>391</v>
      </c>
      <c r="B180" s="388"/>
      <c r="C180" s="388"/>
      <c r="D180" s="388"/>
      <c r="E180" s="388"/>
      <c r="F180" s="388">
        <v>4</v>
      </c>
      <c r="G180" s="388"/>
      <c r="H180" s="388"/>
      <c r="I180" s="388"/>
      <c r="J180" s="388"/>
      <c r="K180" s="388"/>
      <c r="L180" s="388"/>
      <c r="M180" s="388"/>
      <c r="N180" s="390">
        <f>SUM(B180:M180)</f>
        <v>4</v>
      </c>
    </row>
    <row r="181" spans="1:14" x14ac:dyDescent="0.25">
      <c r="A181" s="5" t="s">
        <v>388</v>
      </c>
      <c r="B181" s="376" t="b">
        <f>ISBLANK(B180)</f>
        <v>1</v>
      </c>
      <c r="C181" s="376" t="b">
        <f t="shared" ref="C181:N181" si="89">ISBLANK(C180)</f>
        <v>1</v>
      </c>
      <c r="D181" s="376" t="b">
        <f t="shared" si="89"/>
        <v>1</v>
      </c>
      <c r="E181" s="376" t="b">
        <f t="shared" si="89"/>
        <v>1</v>
      </c>
      <c r="F181" s="376" t="b">
        <f t="shared" si="89"/>
        <v>0</v>
      </c>
      <c r="G181" s="376" t="b">
        <f t="shared" si="89"/>
        <v>1</v>
      </c>
      <c r="H181" s="376" t="b">
        <f t="shared" si="89"/>
        <v>1</v>
      </c>
      <c r="I181" s="376" t="b">
        <f t="shared" si="89"/>
        <v>1</v>
      </c>
      <c r="J181" s="376" t="b">
        <f t="shared" si="89"/>
        <v>1</v>
      </c>
      <c r="K181" s="376" t="b">
        <f t="shared" si="89"/>
        <v>1</v>
      </c>
      <c r="L181" s="376" t="b">
        <f t="shared" si="89"/>
        <v>1</v>
      </c>
      <c r="M181" s="376" t="b">
        <f t="shared" si="89"/>
        <v>1</v>
      </c>
      <c r="N181" s="376" t="b">
        <f t="shared" si="89"/>
        <v>0</v>
      </c>
    </row>
    <row r="182" spans="1:14" x14ac:dyDescent="0.25">
      <c r="A182" s="5" t="s">
        <v>392</v>
      </c>
      <c r="B182" s="392">
        <f>IF(B181=TRUE,0,B176/B180)</f>
        <v>0</v>
      </c>
      <c r="C182" s="392">
        <f t="shared" ref="C182:N182" si="90">IF(C181=TRUE,0,C176/C180)</f>
        <v>0</v>
      </c>
      <c r="D182" s="392">
        <f t="shared" si="90"/>
        <v>0</v>
      </c>
      <c r="E182" s="392">
        <f t="shared" si="90"/>
        <v>0</v>
      </c>
      <c r="F182" s="392">
        <f t="shared" si="90"/>
        <v>2.5</v>
      </c>
      <c r="G182" s="392">
        <f t="shared" si="90"/>
        <v>0</v>
      </c>
      <c r="H182" s="392">
        <f t="shared" si="90"/>
        <v>0</v>
      </c>
      <c r="I182" s="392">
        <f t="shared" si="90"/>
        <v>0</v>
      </c>
      <c r="J182" s="392">
        <f t="shared" si="90"/>
        <v>0</v>
      </c>
      <c r="K182" s="392">
        <f t="shared" si="90"/>
        <v>0</v>
      </c>
      <c r="L182" s="392">
        <f t="shared" si="90"/>
        <v>0</v>
      </c>
      <c r="M182" s="392">
        <f t="shared" si="90"/>
        <v>0</v>
      </c>
      <c r="N182" s="392">
        <f t="shared" si="90"/>
        <v>2.5</v>
      </c>
    </row>
    <row r="183" spans="1:14" x14ac:dyDescent="0.25">
      <c r="A183" s="5" t="s">
        <v>370</v>
      </c>
      <c r="B183" s="8">
        <f>IF(AND(B177=FALSE,B178=0,B182=0),B179,IF(AND(B177=TRUE,B182&gt;0),B182,IF(AND(B177=FALSE,B182&gt;0),AVERAGE(B179,B182),0)))</f>
        <v>0</v>
      </c>
      <c r="C183" s="8">
        <f>IF(AND(C177=FALSE,C178=0,C182=0),C179,IF(AND(C177=TRUE,C182&gt;0),C182,IF(AND(C177=FALSE,C182&gt;0),AVERAGE(C179,C182),0)))</f>
        <v>0</v>
      </c>
      <c r="D183" s="8">
        <f t="shared" ref="D183:N183" si="91">IF(AND(D177=FALSE,D178=0,D182=0),D179,IF(AND(D177=TRUE,D182&gt;0),D182,IF(AND(D177=FALSE,D182&gt;0),AVERAGE(D179,D182),0)))</f>
        <v>0</v>
      </c>
      <c r="E183" s="8">
        <f t="shared" si="91"/>
        <v>0</v>
      </c>
      <c r="F183" s="8">
        <f t="shared" si="91"/>
        <v>2.5</v>
      </c>
      <c r="G183" s="8">
        <f t="shared" si="91"/>
        <v>0</v>
      </c>
      <c r="H183" s="8">
        <f t="shared" si="91"/>
        <v>0</v>
      </c>
      <c r="I183" s="8">
        <f t="shared" si="91"/>
        <v>0</v>
      </c>
      <c r="J183" s="8">
        <f t="shared" si="91"/>
        <v>0</v>
      </c>
      <c r="K183" s="8">
        <f t="shared" si="91"/>
        <v>0</v>
      </c>
      <c r="L183" s="8">
        <f t="shared" si="91"/>
        <v>0</v>
      </c>
      <c r="M183" s="8">
        <f t="shared" si="91"/>
        <v>0</v>
      </c>
      <c r="N183" s="8">
        <f t="shared" si="91"/>
        <v>1.25</v>
      </c>
    </row>
    <row r="184" spans="1:14" x14ac:dyDescent="0.25">
      <c r="A184" s="5" t="s">
        <v>371</v>
      </c>
      <c r="B184" s="8">
        <f>B183</f>
        <v>0</v>
      </c>
      <c r="C184" s="4" t="e">
        <f>AVERAGE($B$94:C$94)</f>
        <v>#DIV/0!</v>
      </c>
      <c r="D184" s="4" t="e">
        <f>AVERAGE($B$94:D$94)</f>
        <v>#DIV/0!</v>
      </c>
      <c r="E184" s="4" t="e">
        <f>AVERAGE($B$94:E$94)</f>
        <v>#DIV/0!</v>
      </c>
      <c r="F184" s="4" t="e">
        <f>AVERAGE($B$94:F$94)</f>
        <v>#DIV/0!</v>
      </c>
      <c r="G184" s="4" t="e">
        <f>AVERAGE($B$94:G$94)</f>
        <v>#DIV/0!</v>
      </c>
      <c r="H184" s="4" t="e">
        <f>AVERAGE($B$94:H$94)</f>
        <v>#DIV/0!</v>
      </c>
      <c r="I184" s="4" t="e">
        <f>AVERAGE($B$94:I$94)</f>
        <v>#DIV/0!</v>
      </c>
      <c r="J184" s="4" t="e">
        <f>AVERAGE($B$94:J$94)</f>
        <v>#DIV/0!</v>
      </c>
      <c r="K184" s="4" t="e">
        <f>AVERAGE($B$94:K$94)</f>
        <v>#DIV/0!</v>
      </c>
      <c r="L184" s="4" t="e">
        <f>AVERAGE($B$94:L$94)</f>
        <v>#DIV/0!</v>
      </c>
      <c r="M184" s="4" t="e">
        <f>AVERAGE($B$94:M$94)</f>
        <v>#DIV/0!</v>
      </c>
      <c r="N184" s="4"/>
    </row>
    <row r="187" spans="1:14" x14ac:dyDescent="0.25">
      <c r="A187" s="283" t="s">
        <v>393</v>
      </c>
      <c r="B187" s="285" t="s">
        <v>29</v>
      </c>
      <c r="C187" s="285" t="s">
        <v>30</v>
      </c>
      <c r="D187" s="285" t="s">
        <v>31</v>
      </c>
      <c r="E187" s="285" t="s">
        <v>32</v>
      </c>
      <c r="F187" s="285" t="s">
        <v>33</v>
      </c>
      <c r="G187" s="285" t="s">
        <v>34</v>
      </c>
      <c r="H187" s="285" t="s">
        <v>35</v>
      </c>
      <c r="I187" s="285" t="s">
        <v>36</v>
      </c>
      <c r="J187" s="285" t="s">
        <v>37</v>
      </c>
      <c r="K187" s="285" t="s">
        <v>38</v>
      </c>
      <c r="L187" s="285" t="s">
        <v>39</v>
      </c>
      <c r="M187" s="285" t="s">
        <v>40</v>
      </c>
      <c r="N187" s="285" t="s">
        <v>95</v>
      </c>
    </row>
    <row r="188" spans="1:14" x14ac:dyDescent="0.25">
      <c r="A188" s="284" t="s">
        <v>41</v>
      </c>
      <c r="B188" s="399">
        <v>0.85</v>
      </c>
      <c r="C188" s="399">
        <v>0.85</v>
      </c>
      <c r="D188" s="399">
        <v>0.85</v>
      </c>
      <c r="E188" s="399">
        <v>0.85</v>
      </c>
      <c r="F188" s="399">
        <v>0.85</v>
      </c>
      <c r="G188" s="399">
        <v>0.85</v>
      </c>
      <c r="H188" s="399">
        <v>0.85</v>
      </c>
      <c r="I188" s="399">
        <v>0.85</v>
      </c>
      <c r="J188" s="399">
        <v>0.85</v>
      </c>
      <c r="K188" s="399">
        <v>0.85</v>
      </c>
      <c r="L188" s="399">
        <v>0.85</v>
      </c>
      <c r="M188" s="399">
        <v>0.85</v>
      </c>
      <c r="N188" s="399">
        <v>0.85</v>
      </c>
    </row>
    <row r="189" spans="1:14" x14ac:dyDescent="0.25">
      <c r="A189" s="284" t="s">
        <v>394</v>
      </c>
      <c r="B189" s="397">
        <v>0.99560000000000004</v>
      </c>
      <c r="C189" s="397">
        <v>0.996</v>
      </c>
      <c r="D189" s="397">
        <v>0.99749874874874866</v>
      </c>
      <c r="E189" s="397">
        <v>0.99209999999999998</v>
      </c>
      <c r="F189" s="396">
        <v>0.99199999999999999</v>
      </c>
      <c r="G189" s="396"/>
      <c r="H189" s="396"/>
      <c r="I189" s="396"/>
      <c r="J189" s="396"/>
      <c r="K189" s="396"/>
      <c r="L189" s="396"/>
      <c r="M189" s="396"/>
      <c r="N189" s="396">
        <f>AVERAGE(B189:M189)</f>
        <v>0.99463974974974967</v>
      </c>
    </row>
    <row r="190" spans="1:14" x14ac:dyDescent="0.25">
      <c r="A190" s="284" t="s">
        <v>395</v>
      </c>
      <c r="B190" s="396">
        <v>0.9</v>
      </c>
      <c r="C190" s="396">
        <v>0.89</v>
      </c>
      <c r="D190" s="396">
        <v>0.92</v>
      </c>
      <c r="E190" s="396">
        <v>0.95</v>
      </c>
      <c r="F190" s="396">
        <v>0.94</v>
      </c>
      <c r="G190" s="396"/>
      <c r="H190" s="396"/>
      <c r="I190" s="396"/>
      <c r="J190" s="396"/>
      <c r="K190" s="396"/>
      <c r="L190" s="396"/>
      <c r="M190" s="396"/>
      <c r="N190" s="396">
        <f t="shared" ref="N190:N191" si="92">AVERAGE(B190:M190)</f>
        <v>0.91999999999999993</v>
      </c>
    </row>
    <row r="191" spans="1:14" x14ac:dyDescent="0.25">
      <c r="A191" s="284" t="s">
        <v>396</v>
      </c>
      <c r="B191" s="396">
        <v>0.95</v>
      </c>
      <c r="C191" s="396">
        <v>0.96</v>
      </c>
      <c r="D191" s="396">
        <v>0.93</v>
      </c>
      <c r="E191" s="396">
        <v>0.95</v>
      </c>
      <c r="F191" s="396">
        <v>0.92</v>
      </c>
      <c r="G191" s="396"/>
      <c r="H191" s="396"/>
      <c r="I191" s="396"/>
      <c r="J191" s="396"/>
      <c r="K191" s="396"/>
      <c r="L191" s="396"/>
      <c r="M191" s="396"/>
      <c r="N191" s="396">
        <f t="shared" si="92"/>
        <v>0.94199999999999995</v>
      </c>
    </row>
    <row r="192" spans="1:14" x14ac:dyDescent="0.25">
      <c r="A192" s="284" t="s">
        <v>397</v>
      </c>
      <c r="B192" s="399">
        <f t="shared" ref="B192:N192" si="93">B189*B190*B191</f>
        <v>0.85123800000000005</v>
      </c>
      <c r="C192" s="399">
        <f t="shared" si="93"/>
        <v>0.85098240000000003</v>
      </c>
      <c r="D192" s="399">
        <f t="shared" si="93"/>
        <v>0.85345992942942939</v>
      </c>
      <c r="E192" s="399">
        <f t="shared" si="93"/>
        <v>0.89537024999999992</v>
      </c>
      <c r="F192" s="399">
        <f t="shared" si="93"/>
        <v>0.85788160000000002</v>
      </c>
      <c r="G192" s="399">
        <f t="shared" si="93"/>
        <v>0</v>
      </c>
      <c r="H192" s="399">
        <f t="shared" si="93"/>
        <v>0</v>
      </c>
      <c r="I192" s="399">
        <f t="shared" si="93"/>
        <v>0</v>
      </c>
      <c r="J192" s="399">
        <f t="shared" si="93"/>
        <v>0</v>
      </c>
      <c r="K192" s="399">
        <f t="shared" si="93"/>
        <v>0</v>
      </c>
      <c r="L192" s="399">
        <f t="shared" si="93"/>
        <v>0</v>
      </c>
      <c r="M192" s="399">
        <f t="shared" si="93"/>
        <v>0</v>
      </c>
      <c r="N192" s="399">
        <f t="shared" si="93"/>
        <v>0.86199459272312284</v>
      </c>
    </row>
    <row r="193" spans="1:14" x14ac:dyDescent="0.25">
      <c r="A193" s="284" t="s">
        <v>370</v>
      </c>
      <c r="B193" s="398">
        <f>IFERROR(B192/B189,0)</f>
        <v>0.85499999999999998</v>
      </c>
      <c r="C193" s="398">
        <f t="shared" ref="C193:N193" si="94">IFERROR(C192/C189,0)</f>
        <v>0.85440000000000005</v>
      </c>
      <c r="D193" s="398">
        <f t="shared" si="94"/>
        <v>0.85560000000000003</v>
      </c>
      <c r="E193" s="398">
        <f t="shared" si="94"/>
        <v>0.90249999999999997</v>
      </c>
      <c r="F193" s="398">
        <f t="shared" si="94"/>
        <v>0.86480000000000001</v>
      </c>
      <c r="G193" s="398">
        <f t="shared" si="94"/>
        <v>0</v>
      </c>
      <c r="H193" s="398">
        <f t="shared" si="94"/>
        <v>0</v>
      </c>
      <c r="I193" s="398">
        <f t="shared" si="94"/>
        <v>0</v>
      </c>
      <c r="J193" s="398">
        <f t="shared" si="94"/>
        <v>0</v>
      </c>
      <c r="K193" s="398">
        <f t="shared" si="94"/>
        <v>0</v>
      </c>
      <c r="L193" s="398">
        <f t="shared" si="94"/>
        <v>0</v>
      </c>
      <c r="M193" s="398">
        <f t="shared" si="94"/>
        <v>0</v>
      </c>
      <c r="N193" s="398">
        <f t="shared" si="94"/>
        <v>0.86663999999999974</v>
      </c>
    </row>
    <row r="194" spans="1:14" x14ac:dyDescent="0.25">
      <c r="A194" s="284" t="s">
        <v>376</v>
      </c>
      <c r="B194" s="399">
        <f>B193</f>
        <v>0.85499999999999998</v>
      </c>
      <c r="C194" s="399">
        <f>IFERROR(SUM($B$85:C$85)/COUNT($B$85:C$85),0)</f>
        <v>0</v>
      </c>
      <c r="D194" s="399">
        <f>IFERROR(SUM($B$85:D$85)/COUNT($B$85:D$85),0)</f>
        <v>0</v>
      </c>
      <c r="E194" s="399">
        <f>IFERROR(SUM($B$85:E$85)/COUNT($B$85:E$85),0)</f>
        <v>0</v>
      </c>
      <c r="F194" s="399">
        <f>IFERROR(SUM($B$85:F$85)/COUNT($B$85:F$85),0)</f>
        <v>0</v>
      </c>
      <c r="G194" s="399">
        <f>IFERROR(SUM($B$85:G$85)/COUNT($B$85:G$85),0)</f>
        <v>0</v>
      </c>
      <c r="H194" s="399">
        <f>IFERROR(SUM($B$85:H$85)/COUNT($B$85:H$85),0)</f>
        <v>0</v>
      </c>
      <c r="I194" s="399">
        <f>IFERROR(SUM($B$85:I$85)/COUNT($B$85:I$85),0)</f>
        <v>0</v>
      </c>
      <c r="J194" s="399">
        <f>IFERROR(SUM($B$85:J$85)/COUNT($B$85:J$85),0)</f>
        <v>0</v>
      </c>
      <c r="K194" s="399">
        <f>IFERROR(SUM($B$85:K$85)/COUNT($B$85:K$85),0)</f>
        <v>0</v>
      </c>
      <c r="L194" s="399">
        <f>IFERROR(SUM($B$85:L$85)/COUNT($B$85:L$85),0)</f>
        <v>0</v>
      </c>
      <c r="M194" s="399">
        <f>IFERROR(SUM($B$85:M$85)/COUNT($B$85:M$85),0)</f>
        <v>0</v>
      </c>
      <c r="N194" s="399"/>
    </row>
    <row r="197" spans="1:14" x14ac:dyDescent="0.25">
      <c r="A197" s="283" t="s">
        <v>253</v>
      </c>
      <c r="B197" s="285" t="s">
        <v>29</v>
      </c>
      <c r="C197" s="285" t="s">
        <v>30</v>
      </c>
      <c r="D197" s="285" t="s">
        <v>31</v>
      </c>
      <c r="E197" s="285" t="s">
        <v>32</v>
      </c>
      <c r="F197" s="285" t="s">
        <v>33</v>
      </c>
      <c r="G197" s="285" t="s">
        <v>34</v>
      </c>
      <c r="H197" s="285" t="s">
        <v>35</v>
      </c>
      <c r="I197" s="285" t="s">
        <v>36</v>
      </c>
      <c r="J197" s="285" t="s">
        <v>37</v>
      </c>
      <c r="K197" s="285" t="s">
        <v>38</v>
      </c>
      <c r="L197" s="285" t="s">
        <v>39</v>
      </c>
      <c r="M197" s="285" t="s">
        <v>40</v>
      </c>
      <c r="N197" s="285" t="s">
        <v>95</v>
      </c>
    </row>
    <row r="198" spans="1:14" x14ac:dyDescent="0.25">
      <c r="A198" s="5" t="s">
        <v>41</v>
      </c>
      <c r="B198" s="4">
        <v>1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</row>
    <row r="199" spans="1:14" x14ac:dyDescent="0.25">
      <c r="A199" s="5" t="s">
        <v>42</v>
      </c>
      <c r="B199" s="382">
        <v>0.49</v>
      </c>
      <c r="C199" s="382">
        <v>0.51</v>
      </c>
      <c r="D199" s="382">
        <v>0.52</v>
      </c>
      <c r="E199" s="382">
        <v>0.55000000000000004</v>
      </c>
      <c r="F199" s="382">
        <v>0.56000000000000005</v>
      </c>
      <c r="G199" s="382"/>
      <c r="H199" s="382"/>
      <c r="I199" s="382"/>
      <c r="J199" s="382"/>
      <c r="K199" s="382"/>
      <c r="L199" s="382"/>
      <c r="M199" s="382"/>
      <c r="N199" s="382">
        <f>AVERAGE(B199:M199)</f>
        <v>0.52600000000000002</v>
      </c>
    </row>
    <row r="200" spans="1:14" x14ac:dyDescent="0.25">
      <c r="A200" s="5" t="s">
        <v>370</v>
      </c>
      <c r="B200" s="4">
        <f>B199/B198</f>
        <v>0.49</v>
      </c>
      <c r="C200" s="4">
        <f t="shared" ref="C200:N200" si="95">C199/C198</f>
        <v>0.51</v>
      </c>
      <c r="D200" s="4">
        <f t="shared" si="95"/>
        <v>0.52</v>
      </c>
      <c r="E200" s="4">
        <f t="shared" si="95"/>
        <v>0.55000000000000004</v>
      </c>
      <c r="F200" s="4">
        <f t="shared" si="95"/>
        <v>0.56000000000000005</v>
      </c>
      <c r="G200" s="4">
        <f t="shared" si="95"/>
        <v>0</v>
      </c>
      <c r="H200" s="4">
        <f t="shared" si="95"/>
        <v>0</v>
      </c>
      <c r="I200" s="4">
        <f t="shared" si="95"/>
        <v>0</v>
      </c>
      <c r="J200" s="4">
        <f t="shared" si="95"/>
        <v>0</v>
      </c>
      <c r="K200" s="4">
        <f t="shared" si="95"/>
        <v>0</v>
      </c>
      <c r="L200" s="4">
        <f t="shared" si="95"/>
        <v>0</v>
      </c>
      <c r="M200" s="4">
        <f t="shared" si="95"/>
        <v>0</v>
      </c>
      <c r="N200" s="4">
        <f t="shared" si="95"/>
        <v>0.52600000000000002</v>
      </c>
    </row>
  </sheetData>
  <mergeCells count="26">
    <mergeCell ref="AB120:AB123"/>
    <mergeCell ref="P112:P115"/>
    <mergeCell ref="Q112:Q115"/>
    <mergeCell ref="R112:R115"/>
    <mergeCell ref="S112:S115"/>
    <mergeCell ref="T112:T115"/>
    <mergeCell ref="U112:U115"/>
    <mergeCell ref="V112:V115"/>
    <mergeCell ref="W112:W115"/>
    <mergeCell ref="X112:X115"/>
    <mergeCell ref="Y112:Y115"/>
    <mergeCell ref="Z112:Z115"/>
    <mergeCell ref="AA112:AA115"/>
    <mergeCell ref="AB112:AB115"/>
    <mergeCell ref="P120:P123"/>
    <mergeCell ref="Q120:Q123"/>
    <mergeCell ref="R120:R123"/>
    <mergeCell ref="S120:S123"/>
    <mergeCell ref="T120:T123"/>
    <mergeCell ref="U120:U123"/>
    <mergeCell ref="V120:V123"/>
    <mergeCell ref="W120:W123"/>
    <mergeCell ref="X120:X123"/>
    <mergeCell ref="Y120:Y123"/>
    <mergeCell ref="Z120:Z123"/>
    <mergeCell ref="AA120:AA123"/>
  </mergeCells>
  <phoneticPr fontId="3" type="noConversion"/>
  <conditionalFormatting sqref="B6:N7">
    <cfRule type="cellIs" dxfId="366" priority="141" operator="greaterThan">
      <formula>1</formula>
    </cfRule>
    <cfRule type="cellIs" dxfId="365" priority="139" operator="equal">
      <formula>1</formula>
    </cfRule>
    <cfRule type="cellIs" dxfId="364" priority="140" operator="lessThan">
      <formula>1</formula>
    </cfRule>
  </conditionalFormatting>
  <conditionalFormatting sqref="B15:N16">
    <cfRule type="cellIs" dxfId="363" priority="133" operator="equal">
      <formula>1</formula>
    </cfRule>
    <cfRule type="cellIs" dxfId="362" priority="134" operator="lessThan">
      <formula>1</formula>
    </cfRule>
    <cfRule type="cellIs" dxfId="361" priority="135" operator="greaterThan">
      <formula>1</formula>
    </cfRule>
  </conditionalFormatting>
  <conditionalFormatting sqref="B24:N25">
    <cfRule type="cellIs" dxfId="360" priority="128" operator="lessThan">
      <formula>1</formula>
    </cfRule>
    <cfRule type="cellIs" dxfId="359" priority="127" operator="equal">
      <formula>1</formula>
    </cfRule>
    <cfRule type="cellIs" dxfId="358" priority="129" operator="greaterThan">
      <formula>1</formula>
    </cfRule>
  </conditionalFormatting>
  <conditionalFormatting sqref="B32:N33">
    <cfRule type="cellIs" dxfId="357" priority="123" operator="greaterThan">
      <formula>1</formula>
    </cfRule>
    <cfRule type="cellIs" dxfId="356" priority="122" operator="lessThan">
      <formula>1</formula>
    </cfRule>
    <cfRule type="cellIs" dxfId="355" priority="121" operator="equal">
      <formula>1</formula>
    </cfRule>
  </conditionalFormatting>
  <conditionalFormatting sqref="B40:N40 B82:M83">
    <cfRule type="cellIs" dxfId="354" priority="45" operator="greaterThan">
      <formula>1</formula>
    </cfRule>
    <cfRule type="cellIs" dxfId="353" priority="44" operator="lessThan">
      <formula>1</formula>
    </cfRule>
    <cfRule type="cellIs" dxfId="352" priority="43" operator="equal">
      <formula>1</formula>
    </cfRule>
  </conditionalFormatting>
  <conditionalFormatting sqref="B48:N48">
    <cfRule type="cellIs" dxfId="351" priority="110" operator="lessThan">
      <formula>1</formula>
    </cfRule>
    <cfRule type="cellIs" dxfId="350" priority="111" operator="greaterThan">
      <formula>1</formula>
    </cfRule>
    <cfRule type="cellIs" dxfId="349" priority="109" operator="equal">
      <formula>1</formula>
    </cfRule>
  </conditionalFormatting>
  <conditionalFormatting sqref="B56:N57">
    <cfRule type="cellIs" dxfId="348" priority="105" operator="greaterThan">
      <formula>1</formula>
    </cfRule>
    <cfRule type="cellIs" dxfId="347" priority="104" operator="lessThan">
      <formula>1</formula>
    </cfRule>
    <cfRule type="cellIs" dxfId="346" priority="103" operator="equal">
      <formula>1</formula>
    </cfRule>
  </conditionalFormatting>
  <conditionalFormatting sqref="B65:N66">
    <cfRule type="cellIs" dxfId="345" priority="73" operator="equal">
      <formula>1</formula>
    </cfRule>
    <cfRule type="cellIs" dxfId="344" priority="75" operator="greaterThan">
      <formula>1</formula>
    </cfRule>
    <cfRule type="cellIs" dxfId="343" priority="74" operator="lessThan">
      <formula>1</formula>
    </cfRule>
  </conditionalFormatting>
  <conditionalFormatting sqref="B73:N73 B74:M74">
    <cfRule type="cellIs" dxfId="342" priority="63" operator="greaterThan">
      <formula>1</formula>
    </cfRule>
    <cfRule type="cellIs" dxfId="341" priority="62" operator="lessThan">
      <formula>1</formula>
    </cfRule>
    <cfRule type="cellIs" dxfId="340" priority="61" operator="equal">
      <formula>1</formula>
    </cfRule>
  </conditionalFormatting>
  <conditionalFormatting sqref="B91:N91 B91:M92">
    <cfRule type="cellIs" dxfId="339" priority="54" operator="greaterThan">
      <formula>1</formula>
    </cfRule>
    <cfRule type="cellIs" dxfId="338" priority="52" operator="equal">
      <formula>1</formula>
    </cfRule>
    <cfRule type="cellIs" dxfId="337" priority="53" operator="lessThan">
      <formula>1</formula>
    </cfRule>
  </conditionalFormatting>
  <conditionalFormatting sqref="B114:N115">
    <cfRule type="cellIs" dxfId="336" priority="37" operator="equal">
      <formula>1</formula>
    </cfRule>
    <cfRule type="cellIs" dxfId="335" priority="38" operator="lessThan">
      <formula>1</formula>
    </cfRule>
    <cfRule type="cellIs" dxfId="334" priority="39" operator="greaterThan">
      <formula>1</formula>
    </cfRule>
  </conditionalFormatting>
  <conditionalFormatting sqref="B122:N123">
    <cfRule type="cellIs" dxfId="333" priority="36" operator="greaterThan">
      <formula>1</formula>
    </cfRule>
    <cfRule type="cellIs" dxfId="332" priority="35" operator="lessThan">
      <formula>1</formula>
    </cfRule>
    <cfRule type="cellIs" dxfId="331" priority="34" operator="equal">
      <formula>1</formula>
    </cfRule>
  </conditionalFormatting>
  <conditionalFormatting sqref="B137:N137">
    <cfRule type="cellIs" dxfId="330" priority="28" operator="equal">
      <formula>1</formula>
    </cfRule>
    <cfRule type="cellIs" dxfId="329" priority="30" operator="greaterThan">
      <formula>1</formula>
    </cfRule>
    <cfRule type="cellIs" dxfId="328" priority="29" operator="lessThan">
      <formula>1</formula>
    </cfRule>
  </conditionalFormatting>
  <conditionalFormatting sqref="B151:N151">
    <cfRule type="cellIs" dxfId="327" priority="24" operator="greaterThan">
      <formula>1</formula>
    </cfRule>
    <cfRule type="cellIs" dxfId="326" priority="23" operator="lessThan">
      <formula>1</formula>
    </cfRule>
    <cfRule type="cellIs" dxfId="325" priority="22" operator="equal">
      <formula>1</formula>
    </cfRule>
  </conditionalFormatting>
  <conditionalFormatting sqref="B158:N158">
    <cfRule type="cellIs" dxfId="324" priority="20" operator="lessThan">
      <formula>1</formula>
    </cfRule>
    <cfRule type="cellIs" dxfId="323" priority="19" operator="equal">
      <formula>1</formula>
    </cfRule>
    <cfRule type="cellIs" dxfId="322" priority="21" operator="greaterThan">
      <formula>1</formula>
    </cfRule>
  </conditionalFormatting>
  <conditionalFormatting sqref="B170:N170">
    <cfRule type="cellIs" dxfId="321" priority="15" operator="greaterThan">
      <formula>1</formula>
    </cfRule>
    <cfRule type="cellIs" dxfId="320" priority="14" operator="lessThan">
      <formula>1</formula>
    </cfRule>
    <cfRule type="cellIs" dxfId="319" priority="13" operator="equal">
      <formula>1</formula>
    </cfRule>
  </conditionalFormatting>
  <conditionalFormatting sqref="B183:N184">
    <cfRule type="cellIs" dxfId="318" priority="12" operator="greaterThan">
      <formula>1</formula>
    </cfRule>
    <cfRule type="cellIs" dxfId="317" priority="11" operator="lessThan">
      <formula>1</formula>
    </cfRule>
    <cfRule type="cellIs" dxfId="316" priority="10" operator="equal">
      <formula>1</formula>
    </cfRule>
  </conditionalFormatting>
  <conditionalFormatting sqref="B192:N192">
    <cfRule type="cellIs" dxfId="315" priority="6" operator="greaterThan">
      <formula>0.85</formula>
    </cfRule>
    <cfRule type="cellIs" dxfId="314" priority="5" operator="lessThan">
      <formula>0.85</formula>
    </cfRule>
    <cfRule type="cellIs" dxfId="313" priority="4" operator="equal">
      <formula>0.85</formula>
    </cfRule>
  </conditionalFormatting>
  <conditionalFormatting sqref="B193:N194">
    <cfRule type="cellIs" dxfId="312" priority="7" operator="equal">
      <formula>1</formula>
    </cfRule>
    <cfRule type="cellIs" dxfId="311" priority="9" operator="greaterThan">
      <formula>1</formula>
    </cfRule>
    <cfRule type="cellIs" dxfId="310" priority="8" operator="lessThan">
      <formula>1</formula>
    </cfRule>
  </conditionalFormatting>
  <conditionalFormatting sqref="N82">
    <cfRule type="cellIs" dxfId="309" priority="51" operator="greaterThan">
      <formula>1</formula>
    </cfRule>
    <cfRule type="cellIs" dxfId="308" priority="50" operator="lessThan">
      <formula>1</formula>
    </cfRule>
    <cfRule type="cellIs" dxfId="307" priority="49" operator="equal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3:U72"/>
  <sheetViews>
    <sheetView showGridLines="0" topLeftCell="A7" zoomScale="70" zoomScaleNormal="70" zoomScaleSheetLayoutView="85" workbookViewId="0">
      <selection activeCell="C11" sqref="C11"/>
    </sheetView>
  </sheetViews>
  <sheetFormatPr defaultColWidth="7.85546875" defaultRowHeight="15.75" x14ac:dyDescent="0.25"/>
  <cols>
    <col min="1" max="1" width="1.7109375" style="98" customWidth="1"/>
    <col min="2" max="2" width="27.7109375" style="102" customWidth="1"/>
    <col min="3" max="3" width="37" style="98" customWidth="1"/>
    <col min="4" max="4" width="45.140625" style="98" customWidth="1"/>
    <col min="5" max="5" width="19.140625" style="98" bestFit="1" customWidth="1"/>
    <col min="6" max="6" width="13.5703125" style="117" customWidth="1"/>
    <col min="7" max="7" width="12.140625" style="117" customWidth="1"/>
    <col min="8" max="8" width="12.7109375" style="98" customWidth="1"/>
    <col min="9" max="9" width="16" style="98" customWidth="1"/>
    <col min="10" max="11" width="16.140625" style="98" customWidth="1"/>
    <col min="12" max="13" width="15.42578125" style="98" customWidth="1"/>
    <col min="14" max="14" width="2.7109375" style="98" customWidth="1"/>
    <col min="15" max="15" width="8.7109375" style="98" bestFit="1" customWidth="1"/>
    <col min="16" max="16" width="10.85546875" style="98" bestFit="1" customWidth="1"/>
    <col min="17" max="17" width="7.85546875" style="99" bestFit="1" customWidth="1"/>
    <col min="18" max="18" width="18.140625" style="100" hidden="1" customWidth="1"/>
    <col min="19" max="19" width="18.28515625" style="99" hidden="1" customWidth="1"/>
    <col min="20" max="20" width="0" style="98" hidden="1" customWidth="1"/>
    <col min="21" max="16384" width="7.85546875" style="98"/>
  </cols>
  <sheetData>
    <row r="3" spans="2:21" ht="28.5" x14ac:dyDescent="0.45">
      <c r="B3" s="526" t="s">
        <v>120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2:21" ht="28.5" x14ac:dyDescent="0.45">
      <c r="B4" s="526" t="s">
        <v>121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</row>
    <row r="5" spans="2:21" x14ac:dyDescent="0.25">
      <c r="B5" s="101"/>
      <c r="C5" s="101"/>
      <c r="D5" s="101"/>
      <c r="E5" s="101"/>
      <c r="F5" s="101"/>
      <c r="G5" s="101"/>
      <c r="H5" s="101"/>
      <c r="I5" s="101"/>
      <c r="J5" s="423" t="s">
        <v>122</v>
      </c>
      <c r="K5" s="423"/>
      <c r="L5" s="423"/>
      <c r="M5" s="423"/>
    </row>
    <row r="6" spans="2:21" ht="33.6" customHeight="1" x14ac:dyDescent="0.25">
      <c r="B6" s="522" t="s">
        <v>102</v>
      </c>
      <c r="C6" s="524" t="s">
        <v>309</v>
      </c>
      <c r="D6" s="424" t="s">
        <v>125</v>
      </c>
      <c r="E6" s="424" t="s">
        <v>204</v>
      </c>
      <c r="F6" s="424"/>
      <c r="G6" s="424"/>
      <c r="H6" s="424"/>
      <c r="I6" s="527" t="s">
        <v>127</v>
      </c>
      <c r="J6" s="425" t="s">
        <v>206</v>
      </c>
      <c r="K6" s="425"/>
      <c r="L6" s="105">
        <v>1.25</v>
      </c>
      <c r="M6" s="106">
        <v>1.5</v>
      </c>
      <c r="R6" s="266" t="s">
        <v>126</v>
      </c>
      <c r="S6" s="266"/>
      <c r="T6" s="266"/>
      <c r="U6" s="266"/>
    </row>
    <row r="7" spans="2:21" ht="33.6" customHeight="1" x14ac:dyDescent="0.25">
      <c r="B7" s="523"/>
      <c r="C7" s="525"/>
      <c r="D7" s="424"/>
      <c r="E7" s="424"/>
      <c r="F7" s="424"/>
      <c r="G7" s="424"/>
      <c r="H7" s="424"/>
      <c r="I7" s="528"/>
      <c r="J7" s="426" t="s">
        <v>207</v>
      </c>
      <c r="K7" s="427"/>
      <c r="L7" s="107">
        <v>1.05</v>
      </c>
      <c r="M7" s="108">
        <v>1.25</v>
      </c>
      <c r="N7" s="109"/>
      <c r="O7" s="109"/>
      <c r="P7" s="109"/>
      <c r="Q7" s="109"/>
      <c r="R7" s="266" t="s">
        <v>204</v>
      </c>
      <c r="S7" s="266"/>
      <c r="T7" s="266"/>
      <c r="U7" s="266"/>
    </row>
    <row r="8" spans="2:21" ht="33.6" customHeight="1" x14ac:dyDescent="0.25">
      <c r="B8" s="522" t="s">
        <v>128</v>
      </c>
      <c r="C8" s="524" t="s">
        <v>129</v>
      </c>
      <c r="D8" s="424" t="s">
        <v>132</v>
      </c>
      <c r="E8" s="430">
        <f>M40</f>
        <v>1.0541313613973038</v>
      </c>
      <c r="F8" s="430"/>
      <c r="G8" s="430"/>
      <c r="H8" s="430"/>
      <c r="I8" s="529">
        <f>COUNTA(F16:F38)</f>
        <v>20</v>
      </c>
      <c r="J8" s="431" t="s">
        <v>208</v>
      </c>
      <c r="K8" s="432"/>
      <c r="L8" s="111">
        <v>0.95</v>
      </c>
      <c r="M8" s="112">
        <v>1.05</v>
      </c>
      <c r="N8" s="109"/>
      <c r="O8" s="109"/>
      <c r="P8" s="109"/>
      <c r="Q8" s="109"/>
      <c r="R8" s="269" t="s">
        <v>29</v>
      </c>
    </row>
    <row r="9" spans="2:21" ht="33.6" customHeight="1" x14ac:dyDescent="0.25">
      <c r="B9" s="523"/>
      <c r="C9" s="525"/>
      <c r="D9" s="424"/>
      <c r="E9" s="430"/>
      <c r="F9" s="430"/>
      <c r="G9" s="430"/>
      <c r="H9" s="430"/>
      <c r="I9" s="529"/>
      <c r="J9" s="433" t="s">
        <v>209</v>
      </c>
      <c r="K9" s="434"/>
      <c r="L9" s="113">
        <v>0.8</v>
      </c>
      <c r="M9" s="114">
        <v>0.95</v>
      </c>
      <c r="R9" s="100" t="s">
        <v>30</v>
      </c>
    </row>
    <row r="10" spans="2:21" ht="33.6" customHeight="1" x14ac:dyDescent="0.25">
      <c r="B10" s="104" t="s">
        <v>99</v>
      </c>
      <c r="C10" s="103" t="s">
        <v>135</v>
      </c>
      <c r="D10" s="104" t="s">
        <v>136</v>
      </c>
      <c r="E10" s="530" t="str">
        <f>M50</f>
        <v>P</v>
      </c>
      <c r="F10" s="530"/>
      <c r="G10" s="530"/>
      <c r="H10" s="530"/>
      <c r="I10" s="529"/>
      <c r="J10" s="438" t="s">
        <v>210</v>
      </c>
      <c r="K10" s="439"/>
      <c r="L10" s="115">
        <v>0</v>
      </c>
      <c r="M10" s="116">
        <v>0.8</v>
      </c>
      <c r="R10" s="100" t="s">
        <v>31</v>
      </c>
      <c r="S10" s="99" t="s">
        <v>156</v>
      </c>
      <c r="T10" s="98" t="s">
        <v>157</v>
      </c>
    </row>
    <row r="11" spans="2:21" ht="33" customHeight="1" x14ac:dyDescent="0.25">
      <c r="B11" s="266"/>
      <c r="C11" s="266"/>
      <c r="D11" s="267"/>
      <c r="E11" s="268"/>
      <c r="F11" s="268"/>
      <c r="G11" s="268"/>
      <c r="H11" s="268"/>
      <c r="I11" s="270"/>
      <c r="J11" s="271"/>
      <c r="K11" s="272"/>
      <c r="L11" s="273"/>
      <c r="M11" s="274"/>
      <c r="R11" s="100" t="s">
        <v>32</v>
      </c>
      <c r="S11" s="99" t="s">
        <v>161</v>
      </c>
      <c r="T11" s="98" t="s">
        <v>213</v>
      </c>
    </row>
    <row r="12" spans="2:21" ht="21" customHeight="1" x14ac:dyDescent="0.25">
      <c r="B12" s="277" t="s">
        <v>29</v>
      </c>
      <c r="C12" s="266" t="s">
        <v>205</v>
      </c>
      <c r="D12" s="267"/>
      <c r="E12" s="268"/>
      <c r="F12" s="268"/>
      <c r="G12" s="268"/>
      <c r="H12" s="268"/>
      <c r="I12" s="270"/>
      <c r="J12" s="271"/>
      <c r="K12" s="272"/>
      <c r="L12" s="273"/>
      <c r="M12" s="274"/>
      <c r="R12" s="100" t="s">
        <v>35</v>
      </c>
      <c r="S12" s="99" t="s">
        <v>165</v>
      </c>
    </row>
    <row r="13" spans="2:21" ht="21" customHeight="1" thickBot="1" x14ac:dyDescent="0.3">
      <c r="B13" s="282"/>
      <c r="C13" s="266"/>
      <c r="D13" s="267"/>
      <c r="E13" s="268"/>
      <c r="F13" s="268"/>
      <c r="G13" s="268"/>
      <c r="H13" s="268"/>
      <c r="I13" s="270"/>
      <c r="J13" s="271"/>
      <c r="K13" s="272"/>
      <c r="L13" s="273"/>
      <c r="M13" s="274"/>
      <c r="R13" s="123" t="s">
        <v>36</v>
      </c>
      <c r="S13" s="99" t="s">
        <v>211</v>
      </c>
    </row>
    <row r="14" spans="2:21" s="99" customFormat="1" x14ac:dyDescent="0.25">
      <c r="B14" s="440" t="s">
        <v>137</v>
      </c>
      <c r="C14" s="428" t="s">
        <v>138</v>
      </c>
      <c r="D14" s="428" t="s">
        <v>139</v>
      </c>
      <c r="E14" s="428" t="s">
        <v>140</v>
      </c>
      <c r="F14" s="428" t="s">
        <v>141</v>
      </c>
      <c r="G14" s="428" t="s">
        <v>142</v>
      </c>
      <c r="H14" s="119" t="s">
        <v>143</v>
      </c>
      <c r="I14" s="118" t="s">
        <v>41</v>
      </c>
      <c r="J14" s="119" t="s">
        <v>42</v>
      </c>
      <c r="K14" s="119" t="s">
        <v>144</v>
      </c>
      <c r="L14" s="119" t="s">
        <v>145</v>
      </c>
      <c r="M14" s="119" t="s">
        <v>146</v>
      </c>
      <c r="R14" s="136" t="s">
        <v>37</v>
      </c>
      <c r="S14" s="99" t="s">
        <v>212</v>
      </c>
    </row>
    <row r="15" spans="2:21" s="99" customFormat="1" ht="16.5" thickBot="1" x14ac:dyDescent="0.3">
      <c r="B15" s="441"/>
      <c r="C15" s="429"/>
      <c r="D15" s="429"/>
      <c r="E15" s="429"/>
      <c r="F15" s="429"/>
      <c r="G15" s="429"/>
      <c r="H15" s="120" t="s">
        <v>147</v>
      </c>
      <c r="I15" s="121" t="s">
        <v>148</v>
      </c>
      <c r="J15" s="120" t="s">
        <v>149</v>
      </c>
      <c r="K15" s="120" t="s">
        <v>150</v>
      </c>
      <c r="L15" s="120" t="s">
        <v>151</v>
      </c>
      <c r="M15" s="120" t="s">
        <v>152</v>
      </c>
      <c r="P15" s="102"/>
      <c r="Q15" s="122"/>
      <c r="R15" s="136" t="s">
        <v>38</v>
      </c>
    </row>
    <row r="16" spans="2:21" ht="24.75" customHeight="1" x14ac:dyDescent="0.25">
      <c r="B16" s="443"/>
      <c r="C16" s="444" t="s">
        <v>158</v>
      </c>
      <c r="D16" s="138" t="s">
        <v>45</v>
      </c>
      <c r="E16" s="126" t="s">
        <v>230</v>
      </c>
      <c r="F16" s="127" t="s">
        <v>156</v>
      </c>
      <c r="G16" s="127" t="s">
        <v>157</v>
      </c>
      <c r="H16" s="139">
        <v>0.05</v>
      </c>
      <c r="I16" s="140">
        <f>HLOOKUP(B12,'DB Dir Adm'!B2:N3,2,0)</f>
        <v>5.5858333333333334</v>
      </c>
      <c r="J16" s="141">
        <f>HLOOKUP(B12,'DB Dir Adm'!B2:N4,3,0)</f>
        <v>5.39</v>
      </c>
      <c r="K16" s="142">
        <f t="shared" ref="K16" si="0">IF(F16="Maximize",J16-I16,IF(F16="Minimize",I16-J16,J16-I16))</f>
        <v>-0.19583333333333375</v>
      </c>
      <c r="L16" s="131">
        <f t="shared" ref="L16" si="1">IFERROR(IF(AND(F16="Maximize",G16="Unlock"),IF(((J16-I16)/ABS(I16))+1&lt;0,0,((J16-I16)/ABS(I16))+1),IF(AND(F16="Maximize",G16="Lock"),IF(((J16-I16)/ABS(I16))+1&lt;0,0,IF(((J16-I16)/ABS(I16))+1&gt;$M$6,$M$6,((J16-I16)/ABS(I16))+1)),IF(AND(F16="Minimize",G16="Unlock"),IF(((I16-J16)/ABS(I16))+1&lt;0,0,((I16-J16)/ABS(I16))+1),IF(AND(F16="Minimize",G16="Lock"),IF(((I16-J16)/ABS(I16))+1&lt;0,0,IF(((I16-J16)/ABS(I16))+1&gt;$M$6,$M$6,((I16-J16)/ABS(I16))+1)),IF(F16="Min to Zero",IF(J16&gt;I16,0,IF(J16&lt;I16,0,100%)),IF(F16="Stabilize to Target",IF(J16-I16=0,100%,IF(ABS(J16-I16)&gt;=ABS(I16),0,ABS(IF(J16&gt;I16,1-((J16-I16)/I16),IF(J16&lt;I16,1-((I16-ABS(J16))/I16),0))))),IF(F16="Stabilize to Zero",IF(AND(J16&lt;=I16,J16&gt;=-I16),ABS(IF(J16&gt;I16,J16-I16,IF(J16&lt;I16,I16-ABS(J16),0)))/ABS(I16),0)))))))),0)</f>
        <v>0.9649410711621661</v>
      </c>
      <c r="M16" s="143">
        <f t="shared" ref="M16:M19" si="2">L16*H16</f>
        <v>4.8247053558108308E-2</v>
      </c>
      <c r="N16" s="133"/>
      <c r="O16" s="134"/>
      <c r="P16" s="135"/>
      <c r="Q16" s="100"/>
      <c r="R16" s="136" t="s">
        <v>40</v>
      </c>
      <c r="S16" s="136"/>
    </row>
    <row r="17" spans="1:19" ht="24.75" customHeight="1" x14ac:dyDescent="0.25">
      <c r="B17" s="443"/>
      <c r="C17" s="445"/>
      <c r="D17" s="125" t="s">
        <v>219</v>
      </c>
      <c r="E17" s="126" t="s">
        <v>159</v>
      </c>
      <c r="F17" s="127" t="s">
        <v>156</v>
      </c>
      <c r="G17" s="127" t="s">
        <v>157</v>
      </c>
      <c r="H17" s="128">
        <v>0.05</v>
      </c>
      <c r="I17" s="129">
        <f>HLOOKUP(B12,'DB Dir Adm'!B11:N12,2,0)</f>
        <v>1.5868333333333335</v>
      </c>
      <c r="J17" s="129">
        <v>18</v>
      </c>
      <c r="K17" s="130">
        <f>IF(F17="Maximize",J17-I17,IF(F17="Minimize",I17-J17,J17-I17))</f>
        <v>16.413166666666665</v>
      </c>
      <c r="L17" s="131">
        <f>IFERROR(IF(AND(F17="Maximize",G17="Unlock"),IF(((J17-I17)/ABS(I17))+1&lt;0,0,((J17-I17)/ABS(I17))+1),IF(AND(F17="Maximize",G17="Lock"),IF(((J17-I17)/ABS(I17))+1&lt;0,0,IF(((J17-I17)/ABS(I17))+1&gt;$M$6,$M$6,((J17-I17)/ABS(I17))+1)),IF(AND(F17="Minimize",G17="Unlock"),IF(((I17-J17)/ABS(I17))+1&lt;0,0,((I17-J17)/ABS(I17))+1),IF(AND(F17="Minimize",G17="Lock"),IF(((I17-J17)/ABS(I17))+1&lt;0,0,IF(((I17-J17)/ABS(I17))+1&gt;$M$6,$M$6,((I17-J17)/ABS(I17))+1)),IF(F17="Min to Zero",IF(J17&gt;I17,0,IF(J17&lt;I17,0,100%)),IF(F17="Stabilize to Target",IF(J17-I17=0,100%,IF(ABS(J17-I17)&gt;=ABS(I17),0,ABS(IF(J17&gt;I17,1-((J17-I17)/I17),IF(J17&lt;I17,1-((I17-ABS(J17))/I17),0))))),IF(F17="Stabilize to Zero",IF(AND(J17&lt;=I17,J17&gt;=-I17),ABS(IF(J17&gt;I17,J17-I17,IF(J17&lt;I17,I17-ABS(J17),0)))/ABS(I17),0)))))))),0)</f>
        <v>1.5</v>
      </c>
      <c r="M17" s="132">
        <f t="shared" si="2"/>
        <v>7.5000000000000011E-2</v>
      </c>
      <c r="N17" s="133"/>
      <c r="O17" s="134"/>
      <c r="P17" s="135"/>
      <c r="Q17" s="100"/>
      <c r="R17" s="136" t="s">
        <v>95</v>
      </c>
      <c r="S17" s="136"/>
    </row>
    <row r="18" spans="1:19" ht="24.75" customHeight="1" x14ac:dyDescent="0.25">
      <c r="B18" s="443"/>
      <c r="C18" s="144" t="s">
        <v>160</v>
      </c>
      <c r="D18" s="138" t="s">
        <v>220</v>
      </c>
      <c r="E18" s="126" t="s">
        <v>159</v>
      </c>
      <c r="F18" s="127" t="s">
        <v>161</v>
      </c>
      <c r="G18" s="127" t="s">
        <v>157</v>
      </c>
      <c r="H18" s="139">
        <v>0.05</v>
      </c>
      <c r="I18" s="286">
        <f>HLOOKUP(B12,'DB Dir Adm'!B20:N21,2,0)</f>
        <v>0.95</v>
      </c>
      <c r="J18" s="286">
        <f>HLOOKUP(B12,'DB Dir Adm'!B20:N22,3,0)</f>
        <v>0.9</v>
      </c>
      <c r="K18" s="146">
        <f t="shared" ref="K18" si="3">IF(F18="Maximize",J18-I18,IF(F18="Minimize",I18-J18,J18-I18))</f>
        <v>4.9999999999999933E-2</v>
      </c>
      <c r="L18" s="131">
        <f t="shared" ref="L18" si="4">IFERROR(IF(AND(F18="Maximize",G18="Unlock"),IF(((J18-I18)/ABS(I18))+1&lt;0,0,((J18-I18)/ABS(I18))+1),IF(AND(F18="Maximize",G18="Lock"),IF(((J18-I18)/ABS(I18))+1&lt;0,0,IF(((J18-I18)/ABS(I18))+1&gt;$M$6,$M$6,((J18-I18)/ABS(I18))+1)),IF(AND(F18="Minimize",G18="Unlock"),IF(((I18-J18)/ABS(I18))+1&lt;0,0,((I18-J18)/ABS(I18))+1),IF(AND(F18="Minimize",G18="Lock"),IF(((I18-J18)/ABS(I18))+1&lt;0,0,IF(((I18-J18)/ABS(I18))+1&gt;$M$6,$M$6,((I18-J18)/ABS(I18))+1)),IF(F18="Min to Zero",IF(J18&gt;I18,0,IF(J18&lt;I18,0,100%)),IF(F18="Stabilize to Target",IF(J18-I18=0,100%,IF(ABS(J18-I18)&gt;=ABS(I18),0,ABS(IF(J18&gt;I18,1-((J18-I18)/I18),IF(J18&lt;I18,1-((I18-ABS(J18))/I18),0))))),IF(F18="Stabilize to Zero",IF(AND(J18&lt;=I18,J18&gt;=-I18),ABS(IF(J18&gt;I18,J18-I18,IF(J18&lt;I18,I18-ABS(J18),0)))/ABS(I18),0)))))))),0)</f>
        <v>1.0526315789473684</v>
      </c>
      <c r="M18" s="143">
        <f t="shared" si="2"/>
        <v>5.2631578947368418E-2</v>
      </c>
      <c r="N18" s="133"/>
      <c r="O18" s="134"/>
      <c r="P18" s="135"/>
      <c r="Q18" s="100"/>
      <c r="R18" s="136"/>
      <c r="S18" s="136"/>
    </row>
    <row r="19" spans="1:19" ht="24.75" customHeight="1" x14ac:dyDescent="0.25">
      <c r="B19" s="443"/>
      <c r="C19" s="147" t="s">
        <v>246</v>
      </c>
      <c r="D19" s="148" t="s">
        <v>162</v>
      </c>
      <c r="E19" s="279" t="s">
        <v>159</v>
      </c>
      <c r="F19" s="127" t="s">
        <v>156</v>
      </c>
      <c r="G19" s="127" t="s">
        <v>157</v>
      </c>
      <c r="H19" s="149">
        <v>0.05</v>
      </c>
      <c r="I19" s="288">
        <f>HLOOKUP(B12,'DB Dir Adm'!B28:N29,2,0)</f>
        <v>1.2E-2</v>
      </c>
      <c r="J19" s="288">
        <f>HLOOKUP(B12,'DB Dir Adm'!B28:N30,3,0)</f>
        <v>1.2E-2</v>
      </c>
      <c r="K19" s="152">
        <f t="shared" ref="K19" si="5">IF(F19="Maximize",J19-I19,IF(F19="Minimize",I19-J19,J19-I19))</f>
        <v>0</v>
      </c>
      <c r="L19" s="153">
        <f t="shared" ref="L19" si="6">IFERROR(IF(AND(F19="Maximize",G19="Unlock"),IF(((J19-I19)/ABS(I19))+1&lt;0,0,((J19-I19)/ABS(I19))+1),IF(AND(F19="Maximize",G19="Lock"),IF(((J19-I19)/ABS(I19))+1&lt;0,0,IF(((J19-I19)/ABS(I19))+1&gt;$M$6,$M$6,((J19-I19)/ABS(I19))+1)),IF(AND(F19="Minimize",G19="Unlock"),IF(((I19-J19)/ABS(I19))+1&lt;0,0,((I19-J19)/ABS(I19))+1),IF(AND(F19="Minimize",G19="Lock"),IF(((I19-J19)/ABS(I19))+1&lt;0,0,IF(((I19-J19)/ABS(I19))+1&gt;$M$6,$M$6,((I19-J19)/ABS(I19))+1)),IF(F19="Min to Zero",IF(J19&gt;I19,0,IF(J19&lt;I19,0,100%)),IF(F19="Stabilize to Target",IF(J19-I19=0,100%,IF(ABS(J19-I19)&gt;=ABS(I19),0,ABS(IF(J19&gt;I19,1-((J19-I19)/I19),IF(J19&lt;I19,1-((I19-ABS(J19))/I19),0))))),IF(F19="Stabilize to Zero",IF(AND(J19&lt;=I19,J19&gt;=-I19),ABS(IF(J19&gt;I19,J19-I19,IF(J19&lt;I19,I19-ABS(J19),0)))/ABS(I19),0)))))))),0)</f>
        <v>1</v>
      </c>
      <c r="M19" s="154">
        <f t="shared" si="2"/>
        <v>0.05</v>
      </c>
      <c r="N19" s="133"/>
      <c r="O19" s="134"/>
      <c r="P19" s="135"/>
      <c r="Q19" s="100"/>
      <c r="S19" s="136"/>
    </row>
    <row r="20" spans="1:19" x14ac:dyDescent="0.25">
      <c r="B20" s="443"/>
      <c r="C20" s="446" t="s">
        <v>163</v>
      </c>
      <c r="D20" s="446"/>
      <c r="E20" s="446"/>
      <c r="F20" s="446"/>
      <c r="G20" s="446"/>
      <c r="H20" s="155">
        <f>SUM(H16:H19)</f>
        <v>0.2</v>
      </c>
      <c r="I20" s="156"/>
      <c r="J20" s="156"/>
      <c r="K20" s="156"/>
      <c r="L20" s="156"/>
      <c r="M20" s="157">
        <f>SUM(M16:M19)</f>
        <v>0.22587863250547674</v>
      </c>
      <c r="P20" s="134"/>
      <c r="Q20" s="135"/>
    </row>
    <row r="21" spans="1:19" ht="24.75" customHeight="1" x14ac:dyDescent="0.25">
      <c r="B21" s="447" t="s">
        <v>243</v>
      </c>
      <c r="C21" s="448" t="s">
        <v>164</v>
      </c>
      <c r="D21" s="125" t="s">
        <v>7</v>
      </c>
      <c r="E21" s="126" t="s">
        <v>231</v>
      </c>
      <c r="F21" s="127" t="s">
        <v>156</v>
      </c>
      <c r="G21" s="127" t="s">
        <v>157</v>
      </c>
      <c r="H21" s="128">
        <v>0.05</v>
      </c>
      <c r="I21" s="275">
        <v>1</v>
      </c>
      <c r="J21" s="275">
        <v>1</v>
      </c>
      <c r="K21" s="159">
        <f t="shared" ref="K21:K22" si="7">IF(F21="Maximize",J21-I21,IF(F21="Minimize",I21-J21,J21-I21))</f>
        <v>0</v>
      </c>
      <c r="L21" s="160">
        <f>IFERROR(IF(AND(F21="Maximize",G21="Unlock"),IF(((J21-I21)/ABS(I21))+1&lt;0,0,((J21-I21)/ABS(I21))+1),IF(AND(F21="Maximize",G21="Lock"),IF(((J21-I21)/ABS(I21))+1&lt;0,0,IF(((J21-I21)/ABS(I21))+1&gt;$M$6,$M$6,((J21-I21)/ABS(I21))+1)),IF(AND(F21="Minimize",G21="Unlock"),IF(((I21-J21)/ABS(I21))+1&lt;0,0,((I21-J21)/ABS(I21))+1),IF(AND(F21="Minimize",G21="Lock"),IF(((I21-J21)/ABS(I21))+1&lt;0,0,IF(((I21-J21)/ABS(I21))+1&gt;$M$6,$M$6,((I21-J21)/ABS(I21))+1)),IF(F21="Min to Zero",IF(J21&gt;I21,0,IF(J21&lt;I21,0,100%)),IF(F21="Stabilize to Target",IF(J21-I21=0,100%,IF(ABS(J21-I21)&gt;=ABS(I21),0,ABS(IF(J21&gt;I21,1-((J21-I21)/I21),IF(J21&lt;I21,1-((I21-ABS(J21))/I21),0))))),IF(F21="Stabilize to Zero",IF(AND(J21&lt;=I21,J21&gt;=-I21),ABS(IF(J21&gt;I21,J21-I21,IF(J21&lt;I21,I21-ABS(J21),0)))/ABS(I21),0)))))))),0)</f>
        <v>1</v>
      </c>
      <c r="M21" s="132">
        <f t="shared" ref="M21:M22" si="8">L21*H21</f>
        <v>0.05</v>
      </c>
    </row>
    <row r="22" spans="1:19" ht="24.75" customHeight="1" x14ac:dyDescent="0.25">
      <c r="B22" s="447"/>
      <c r="C22" s="445"/>
      <c r="D22" s="138" t="s">
        <v>221</v>
      </c>
      <c r="E22" s="126" t="s">
        <v>232</v>
      </c>
      <c r="F22" s="127" t="s">
        <v>165</v>
      </c>
      <c r="G22" s="127" t="s">
        <v>157</v>
      </c>
      <c r="H22" s="139">
        <v>0.05</v>
      </c>
      <c r="I22" s="161">
        <f>HLOOKUP(B12,'DB Dir Adm'!B36:N37,2,0)</f>
        <v>0</v>
      </c>
      <c r="J22" s="162">
        <f>HLOOKUP(B12,'DB Dir Adm'!B36:N38,3,0)</f>
        <v>0</v>
      </c>
      <c r="K22" s="163">
        <f t="shared" si="7"/>
        <v>0</v>
      </c>
      <c r="L22" s="160">
        <f>IFERROR(IF(AND(F22="Maximize",G22="Unlock"),IF(((J22-I22)/ABS(I22))+1&lt;0,0,((J22-I22)/ABS(I22))+1),IF(AND(F22="Maximize",G22="Lock"),IF(((J22-I22)/ABS(I22))+1&lt;0,0,IF(((J22-I22)/ABS(I22))+1&gt;$M$6,$M$6,((J22-I22)/ABS(I22))+1)),IF(AND(F22="Minimize",G22="Unlock"),IF(((I22-J22)/ABS(I22))+1&lt;0,0,((I22-J22)/ABS(I22))+1),IF(AND(F22="Minimize",G22="Lock"),IF(((I22-J22)/ABS(I22))+1&lt;0,0,IF(((I22-J22)/ABS(I22))+1&gt;$M$6,$M$6,((I22-J22)/ABS(I22))+1)),IF(F22="Min to Zero",IF(J22&gt;I22,0,IF(J22&lt;I22,0,100%)),IF(F22="Stabilize to Target",IF(J22-I22=0,100%,IF(ABS(J22-I22)&gt;=ABS(I22),0,ABS(IF(J22&gt;I22,1-((J22-I22)/I22),IF(J22&lt;I22,1-((I22-ABS(J22))/I22),0))))),IF(F22="Stabilize to Zero",IF(AND(J22&lt;=I22,J22&gt;=-I22),ABS(IF(J22&gt;I22,J22-I22,IF(J22&lt;I22,I22-ABS(J22),0)))/ABS(I22),0)))))))),0)</f>
        <v>1</v>
      </c>
      <c r="M22" s="143">
        <f t="shared" si="8"/>
        <v>0.05</v>
      </c>
    </row>
    <row r="23" spans="1:19" x14ac:dyDescent="0.25">
      <c r="B23" s="447"/>
      <c r="C23" s="449" t="s">
        <v>242</v>
      </c>
      <c r="D23" s="449"/>
      <c r="E23" s="449"/>
      <c r="F23" s="449"/>
      <c r="G23" s="449"/>
      <c r="H23" s="167">
        <f>SUM(H21:H22)</f>
        <v>0.1</v>
      </c>
      <c r="I23" s="168"/>
      <c r="J23" s="168"/>
      <c r="K23" s="168"/>
      <c r="L23" s="168"/>
      <c r="M23" s="169">
        <f>SUM(M21:M22)</f>
        <v>0.1</v>
      </c>
    </row>
    <row r="24" spans="1:19" ht="34.5" customHeight="1" x14ac:dyDescent="0.25">
      <c r="B24" s="456"/>
      <c r="C24" s="531" t="s">
        <v>300</v>
      </c>
      <c r="D24" s="138" t="s">
        <v>15</v>
      </c>
      <c r="E24" s="126" t="s">
        <v>159</v>
      </c>
      <c r="F24" s="127" t="s">
        <v>161</v>
      </c>
      <c r="G24" s="127" t="s">
        <v>157</v>
      </c>
      <c r="H24" s="139">
        <v>0.05</v>
      </c>
      <c r="I24" s="176">
        <v>1.7100000000000001E-2</v>
      </c>
      <c r="J24" s="145">
        <v>1.9E-2</v>
      </c>
      <c r="K24" s="174">
        <f t="shared" ref="K24:K38" si="9">IF(F24="Maximize",J24-I24,IF(F24="Minimize",I24-J24,J24-I24))</f>
        <v>-1.8999999999999989E-3</v>
      </c>
      <c r="L24" s="131">
        <f t="shared" ref="L24:L28" si="10">IFERROR(IF(AND(F24="Maximize",G24="Unlock"),IF(((J24-I24)/ABS(I24))+1&lt;0,0,((J24-I24)/ABS(I24))+1),IF(AND(F24="Maximize",G24="Lock"),IF(((J24-I24)/ABS(I24))+1&lt;0,0,IF(((J24-I24)/ABS(I24))+1&gt;$M$6,$M$6,((J24-I24)/ABS(I24))+1)),IF(AND(F24="Minimize",G24="Unlock"),IF(((I24-J24)/ABS(I24))+1&lt;0,0,((I24-J24)/ABS(I24))+1),IF(AND(F24="Minimize",G24="Lock"),IF(((I24-J24)/ABS(I24))+1&lt;0,0,IF(((I24-J24)/ABS(I24))+1&gt;$M$6,$M$6,((I24-J24)/ABS(I24))+1)),IF(F24="Min to Zero",IF(J24&gt;I24,0,IF(J24&lt;I24,0,100%)),IF(F24="Stabilize to Target",IF(J24-I24=0,100%,IF(ABS(J24-I24)&gt;=ABS(I24),0,ABS(IF(J24&gt;I24,1-((J24-I24)/I24),IF(J24&lt;I24,1-((I24-ABS(J24))/I24),0))))),IF(F24="Stabilize to Zero",IF(AND(J24&lt;=I24,J24&gt;=-I24),ABS(IF(J24&gt;I24,J24-I24,IF(J24&lt;I24,I24-ABS(J24),0)))/ABS(I24),0)))))))),0)</f>
        <v>0.88888888888888895</v>
      </c>
      <c r="M24" s="143">
        <f t="shared" ref="M24:M28" si="11">L24*H24</f>
        <v>4.4444444444444453E-2</v>
      </c>
    </row>
    <row r="25" spans="1:19" ht="36.75" customHeight="1" x14ac:dyDescent="0.25">
      <c r="A25" s="98" t="s">
        <v>172</v>
      </c>
      <c r="B25" s="456"/>
      <c r="C25" s="532"/>
      <c r="D25" s="148" t="s">
        <v>18</v>
      </c>
      <c r="E25" s="126" t="s">
        <v>159</v>
      </c>
      <c r="F25" s="127" t="s">
        <v>161</v>
      </c>
      <c r="G25" s="127" t="s">
        <v>157</v>
      </c>
      <c r="H25" s="149">
        <v>0.05</v>
      </c>
      <c r="I25" s="290">
        <v>9.5000000000000005E-5</v>
      </c>
      <c r="J25" s="177">
        <v>6.0000000000000002E-5</v>
      </c>
      <c r="K25" s="178">
        <f t="shared" si="9"/>
        <v>3.5000000000000004E-5</v>
      </c>
      <c r="L25" s="131">
        <f t="shared" si="10"/>
        <v>1.368421052631579</v>
      </c>
      <c r="M25" s="154">
        <f t="shared" si="11"/>
        <v>6.8421052631578952E-2</v>
      </c>
    </row>
    <row r="26" spans="1:19" ht="22.5" customHeight="1" x14ac:dyDescent="0.25">
      <c r="A26" s="98" t="s">
        <v>172</v>
      </c>
      <c r="B26" s="456"/>
      <c r="C26" s="532"/>
      <c r="D26" s="148" t="s">
        <v>222</v>
      </c>
      <c r="E26" s="126" t="s">
        <v>159</v>
      </c>
      <c r="F26" s="127" t="s">
        <v>156</v>
      </c>
      <c r="G26" s="127" t="s">
        <v>157</v>
      </c>
      <c r="H26" s="149">
        <v>0.05</v>
      </c>
      <c r="I26" s="275">
        <v>0.98</v>
      </c>
      <c r="J26" s="287">
        <v>0.97</v>
      </c>
      <c r="K26" s="178">
        <f t="shared" si="9"/>
        <v>-1.0000000000000009E-2</v>
      </c>
      <c r="L26" s="153">
        <f t="shared" si="10"/>
        <v>0.98979591836734693</v>
      </c>
      <c r="M26" s="154">
        <f t="shared" si="11"/>
        <v>4.9489795918367351E-2</v>
      </c>
    </row>
    <row r="27" spans="1:19" ht="22.5" customHeight="1" x14ac:dyDescent="0.25">
      <c r="A27" s="98" t="s">
        <v>172</v>
      </c>
      <c r="B27" s="456"/>
      <c r="C27" s="533"/>
      <c r="D27" s="148" t="s">
        <v>223</v>
      </c>
      <c r="E27" s="126" t="s">
        <v>159</v>
      </c>
      <c r="F27" s="127" t="s">
        <v>165</v>
      </c>
      <c r="G27" s="127" t="s">
        <v>157</v>
      </c>
      <c r="H27" s="149">
        <v>0.05</v>
      </c>
      <c r="I27" s="158">
        <v>0</v>
      </c>
      <c r="J27" s="151">
        <v>0</v>
      </c>
      <c r="K27" s="178">
        <f t="shared" ref="K27" si="12">IF(F27="Maximize",J27-I27,IF(F27="Minimize",I27-J27,J27-I27))</f>
        <v>0</v>
      </c>
      <c r="L27" s="153">
        <f t="shared" ref="L27" si="13">IFERROR(IF(AND(F27="Maximize",G27="Unlock"),IF(((J27-I27)/ABS(I27))+1&lt;0,0,((J27-I27)/ABS(I27))+1),IF(AND(F27="Maximize",G27="Lock"),IF(((J27-I27)/ABS(I27))+1&lt;0,0,IF(((J27-I27)/ABS(I27))+1&gt;$M$6,$M$6,((J27-I27)/ABS(I27))+1)),IF(AND(F27="Minimize",G27="Unlock"),IF(((I27-J27)/ABS(I27))+1&lt;0,0,((I27-J27)/ABS(I27))+1),IF(AND(F27="Minimize",G27="Lock"),IF(((I27-J27)/ABS(I27))+1&lt;0,0,IF(((I27-J27)/ABS(I27))+1&gt;$M$6,$M$6,((I27-J27)/ABS(I27))+1)),IF(F27="Min to Zero",IF(J27&gt;I27,0,IF(J27&lt;I27,0,100%)),IF(F27="Stabilize to Target",IF(J27-I27=0,100%,IF(ABS(J27-I27)&gt;=ABS(I27),0,ABS(IF(J27&gt;I27,1-((J27-I27)/I27),IF(J27&lt;I27,1-((I27-ABS(J27))/I27),0))))),IF(F27="Stabilize to Zero",IF(AND(J27&lt;=I27,J27&gt;=-I27),ABS(IF(J27&gt;I27,J27-I27,IF(J27&lt;I27,I27-ABS(J27),0)))/ABS(I27),0)))))))),0)</f>
        <v>1</v>
      </c>
      <c r="M27" s="154">
        <f t="shared" ref="M27" si="14">L27*H27</f>
        <v>0.05</v>
      </c>
    </row>
    <row r="28" spans="1:19" ht="22.5" customHeight="1" x14ac:dyDescent="0.25">
      <c r="A28" s="98" t="s">
        <v>172</v>
      </c>
      <c r="B28" s="456"/>
      <c r="C28" s="147" t="s">
        <v>173</v>
      </c>
      <c r="D28" s="148" t="s">
        <v>19</v>
      </c>
      <c r="E28" s="126" t="s">
        <v>233</v>
      </c>
      <c r="F28" s="127" t="s">
        <v>156</v>
      </c>
      <c r="G28" s="127" t="s">
        <v>157</v>
      </c>
      <c r="H28" s="149">
        <v>0.05</v>
      </c>
      <c r="I28" s="158">
        <v>65</v>
      </c>
      <c r="J28" s="151">
        <v>64</v>
      </c>
      <c r="K28" s="178">
        <f t="shared" si="9"/>
        <v>-1</v>
      </c>
      <c r="L28" s="153">
        <f t="shared" si="10"/>
        <v>0.98461538461538467</v>
      </c>
      <c r="M28" s="154">
        <f t="shared" si="11"/>
        <v>4.9230769230769238E-2</v>
      </c>
    </row>
    <row r="29" spans="1:19" x14ac:dyDescent="0.25">
      <c r="B29" s="456"/>
      <c r="C29" s="457" t="s">
        <v>168</v>
      </c>
      <c r="D29" s="457"/>
      <c r="E29" s="457"/>
      <c r="F29" s="457"/>
      <c r="G29" s="457"/>
      <c r="H29" s="179">
        <f>SUM(H24:H28)</f>
        <v>0.25</v>
      </c>
      <c r="I29" s="180"/>
      <c r="J29" s="180"/>
      <c r="K29" s="180"/>
      <c r="L29" s="180"/>
      <c r="M29" s="181">
        <f>SUM(M24:M28)</f>
        <v>0.26158606222516001</v>
      </c>
    </row>
    <row r="30" spans="1:19" s="134" customFormat="1" ht="24.75" customHeight="1" x14ac:dyDescent="0.25">
      <c r="B30" s="453" t="s">
        <v>174</v>
      </c>
      <c r="C30" s="448" t="s">
        <v>175</v>
      </c>
      <c r="D30" s="124" t="s">
        <v>20</v>
      </c>
      <c r="E30" s="182" t="s">
        <v>159</v>
      </c>
      <c r="F30" s="127" t="s">
        <v>156</v>
      </c>
      <c r="G30" s="127" t="s">
        <v>157</v>
      </c>
      <c r="H30" s="128">
        <v>0.05</v>
      </c>
      <c r="I30" s="158">
        <v>5</v>
      </c>
      <c r="J30" s="158">
        <v>5</v>
      </c>
      <c r="K30" s="170">
        <f t="shared" ref="K30:K35" si="15">IF(F30="Maximize",J30-I30,IF(F30="Minimize",I30-J30,J30-I30))</f>
        <v>0</v>
      </c>
      <c r="L30" s="131">
        <f t="shared" ref="L30:L38" si="16">IFERROR(IF(AND(F30="Maximize",G30="Unlock"),IF(((J30-I30)/ABS(I30))+1&lt;0,0,((J30-I30)/ABS(I30))+1),IF(AND(F30="Maximize",G30="Lock"),IF(((J30-I30)/ABS(I30))+1&lt;0,0,IF(((J30-I30)/ABS(I30))+1&gt;$M$6,$M$6,((J30-I30)/ABS(I30))+1)),IF(AND(F30="Minimize",G30="Unlock"),IF(((I30-J30)/ABS(I30))+1&lt;0,0,((I30-J30)/ABS(I30))+1),IF(AND(F30="Minimize",G30="Lock"),IF(((I30-J30)/ABS(I30))+1&lt;0,0,IF(((I30-J30)/ABS(I30))+1&gt;$M$6,$M$6,((I30-J30)/ABS(I30))+1)),IF(F30="Min to Zero",IF(J30&gt;I30,0,IF(J30&lt;I30,0,100%)),IF(F30="Stabilize to Target",IF(J30-I30=0,100%,IF(ABS(J30-I30)&gt;=ABS(I30),0,ABS(IF(J30&gt;I30,1-((J30-I30)/I30),IF(J30&lt;I30,1-((I30-ABS(J30))/I30),0))))),IF(F30="Stabilize to Zero",IF(AND(J30&lt;=I30,J30&gt;=-I30),ABS(IF(J30&gt;I30,J30-I30,IF(J30&lt;I30,I30-ABS(J30),0)))/ABS(I30),0)))))))),0)</f>
        <v>1</v>
      </c>
      <c r="M30" s="132">
        <f>L30*H30</f>
        <v>0.05</v>
      </c>
      <c r="Q30" s="99"/>
      <c r="R30" s="100"/>
      <c r="S30" s="99"/>
    </row>
    <row r="31" spans="1:19" s="134" customFormat="1" ht="24.75" customHeight="1" x14ac:dyDescent="0.25">
      <c r="B31" s="453"/>
      <c r="C31" s="448"/>
      <c r="D31" s="137" t="s">
        <v>21</v>
      </c>
      <c r="E31" s="182" t="s">
        <v>159</v>
      </c>
      <c r="F31" s="127" t="s">
        <v>156</v>
      </c>
      <c r="G31" s="127" t="s">
        <v>157</v>
      </c>
      <c r="H31" s="149">
        <v>0.05</v>
      </c>
      <c r="I31" s="163">
        <f>HLOOKUP(B12,'DB Dir Adm'!B65:N66,2,0)</f>
        <v>0.75</v>
      </c>
      <c r="J31" s="183">
        <f>HLOOKUP(B12,'DB Dir Adm'!B65:N67,3,0)</f>
        <v>1</v>
      </c>
      <c r="K31" s="184">
        <f t="shared" si="15"/>
        <v>0.25</v>
      </c>
      <c r="L31" s="131">
        <f t="shared" si="16"/>
        <v>1.3333333333333333</v>
      </c>
      <c r="M31" s="143">
        <f t="shared" ref="M31:M32" si="17">L31*H31</f>
        <v>6.6666666666666666E-2</v>
      </c>
      <c r="Q31" s="99"/>
      <c r="R31" s="100"/>
      <c r="S31" s="99"/>
    </row>
    <row r="32" spans="1:19" s="134" customFormat="1" ht="24.75" customHeight="1" x14ac:dyDescent="0.25">
      <c r="B32" s="453"/>
      <c r="C32" s="448"/>
      <c r="D32" s="137" t="s">
        <v>224</v>
      </c>
      <c r="E32" s="182" t="s">
        <v>159</v>
      </c>
      <c r="F32" s="127" t="s">
        <v>165</v>
      </c>
      <c r="G32" s="127" t="s">
        <v>157</v>
      </c>
      <c r="H32" s="149">
        <v>0.05</v>
      </c>
      <c r="I32" s="185">
        <f>HLOOKUP(B12,'DB Dir Adm'!B45:N46,2,0)</f>
        <v>0</v>
      </c>
      <c r="J32" s="186">
        <f>HLOOKUP(B12,'DB Dir Adm'!B45:N47,3,0)</f>
        <v>0</v>
      </c>
      <c r="K32" s="184">
        <f t="shared" si="15"/>
        <v>0</v>
      </c>
      <c r="L32" s="131">
        <f t="shared" si="16"/>
        <v>1</v>
      </c>
      <c r="M32" s="143">
        <f t="shared" si="17"/>
        <v>0.05</v>
      </c>
      <c r="Q32" s="99"/>
      <c r="R32" s="100"/>
      <c r="S32" s="99"/>
    </row>
    <row r="33" spans="2:20" s="134" customFormat="1" ht="24.75" customHeight="1" x14ac:dyDescent="0.25">
      <c r="B33" s="453"/>
      <c r="C33" s="448"/>
      <c r="D33" s="137" t="s">
        <v>225</v>
      </c>
      <c r="E33" s="182" t="s">
        <v>159</v>
      </c>
      <c r="F33" s="127" t="s">
        <v>156</v>
      </c>
      <c r="G33" s="127" t="s">
        <v>157</v>
      </c>
      <c r="H33" s="149">
        <v>0.05</v>
      </c>
      <c r="I33" s="163">
        <v>1</v>
      </c>
      <c r="J33" s="183">
        <v>1</v>
      </c>
      <c r="K33" s="184">
        <f t="shared" si="15"/>
        <v>0</v>
      </c>
      <c r="L33" s="131">
        <f t="shared" si="16"/>
        <v>1</v>
      </c>
      <c r="M33" s="154">
        <f>L33*H33</f>
        <v>0.05</v>
      </c>
      <c r="Q33" s="99"/>
      <c r="R33" s="100"/>
      <c r="S33" s="99"/>
    </row>
    <row r="34" spans="2:20" s="134" customFormat="1" ht="24.75" customHeight="1" x14ac:dyDescent="0.25">
      <c r="B34" s="453"/>
      <c r="C34" s="448"/>
      <c r="D34" s="137" t="s">
        <v>226</v>
      </c>
      <c r="E34" s="182" t="s">
        <v>159</v>
      </c>
      <c r="F34" s="127" t="s">
        <v>156</v>
      </c>
      <c r="G34" s="127" t="s">
        <v>157</v>
      </c>
      <c r="H34" s="149">
        <v>0.05</v>
      </c>
      <c r="I34" s="163">
        <v>1</v>
      </c>
      <c r="J34" s="183">
        <v>1</v>
      </c>
      <c r="K34" s="184">
        <f t="shared" ref="K34" si="18">IF(F34="Maximize",J34-I34,IF(F34="Minimize",I34-J34,J34-I34))</f>
        <v>0</v>
      </c>
      <c r="L34" s="131">
        <f t="shared" ref="L34" si="19">IFERROR(IF(AND(F34="Maximize",G34="Unlock"),IF(((J34-I34)/ABS(I34))+1&lt;0,0,((J34-I34)/ABS(I34))+1),IF(AND(F34="Maximize",G34="Lock"),IF(((J34-I34)/ABS(I34))+1&lt;0,0,IF(((J34-I34)/ABS(I34))+1&gt;$M$6,$M$6,((J34-I34)/ABS(I34))+1)),IF(AND(F34="Minimize",G34="Unlock"),IF(((I34-J34)/ABS(I34))+1&lt;0,0,((I34-J34)/ABS(I34))+1),IF(AND(F34="Minimize",G34="Lock"),IF(((I34-J34)/ABS(I34))+1&lt;0,0,IF(((I34-J34)/ABS(I34))+1&gt;$M$6,$M$6,((I34-J34)/ABS(I34))+1)),IF(F34="Min to Zero",IF(J34&gt;I34,0,IF(J34&lt;I34,0,100%)),IF(F34="Stabilize to Target",IF(J34-I34=0,100%,IF(ABS(J34-I34)&gt;=ABS(I34),0,ABS(IF(J34&gt;I34,1-((J34-I34)/I34),IF(J34&lt;I34,1-((I34-ABS(J34))/I34),0))))),IF(F34="Stabilize to Zero",IF(AND(J34&lt;=I34,J34&gt;=-I34),ABS(IF(J34&gt;I34,J34-I34,IF(J34&lt;I34,I34-ABS(J34),0)))/ABS(I34),0)))))))),0)</f>
        <v>1</v>
      </c>
      <c r="M34" s="154">
        <f>L34*H34</f>
        <v>0.05</v>
      </c>
      <c r="Q34" s="99"/>
      <c r="R34" s="100"/>
      <c r="S34" s="99"/>
    </row>
    <row r="35" spans="2:20" s="134" customFormat="1" ht="24.75" customHeight="1" x14ac:dyDescent="0.25">
      <c r="B35" s="453"/>
      <c r="C35" s="445"/>
      <c r="D35" s="137" t="s">
        <v>227</v>
      </c>
      <c r="E35" s="126" t="s">
        <v>232</v>
      </c>
      <c r="F35" s="127" t="s">
        <v>156</v>
      </c>
      <c r="G35" s="127" t="s">
        <v>157</v>
      </c>
      <c r="H35" s="149">
        <v>0.05</v>
      </c>
      <c r="I35" s="163">
        <v>1</v>
      </c>
      <c r="J35" s="183">
        <v>1</v>
      </c>
      <c r="K35" s="184">
        <f t="shared" si="15"/>
        <v>0</v>
      </c>
      <c r="L35" s="131">
        <f t="shared" si="16"/>
        <v>1</v>
      </c>
      <c r="M35" s="154">
        <f>L35*H35</f>
        <v>0.05</v>
      </c>
      <c r="Q35" s="99"/>
      <c r="R35" s="100"/>
      <c r="S35" s="99"/>
    </row>
    <row r="36" spans="2:20" s="134" customFormat="1" ht="24.75" customHeight="1" x14ac:dyDescent="0.25">
      <c r="B36" s="453"/>
      <c r="C36" s="444" t="s">
        <v>176</v>
      </c>
      <c r="D36" s="137" t="s">
        <v>228</v>
      </c>
      <c r="E36" s="126" t="s">
        <v>159</v>
      </c>
      <c r="F36" s="127" t="s">
        <v>156</v>
      </c>
      <c r="G36" s="127" t="s">
        <v>157</v>
      </c>
      <c r="H36" s="149">
        <v>0.05</v>
      </c>
      <c r="I36" s="163">
        <v>1</v>
      </c>
      <c r="J36" s="183">
        <v>1</v>
      </c>
      <c r="K36" s="184">
        <f t="shared" si="9"/>
        <v>0</v>
      </c>
      <c r="L36" s="131">
        <f t="shared" si="16"/>
        <v>1</v>
      </c>
      <c r="M36" s="132">
        <f>L36*H36</f>
        <v>0.05</v>
      </c>
      <c r="Q36" s="99"/>
      <c r="R36" s="100"/>
      <c r="S36" s="99"/>
    </row>
    <row r="37" spans="2:20" s="134" customFormat="1" ht="40.5" customHeight="1" x14ac:dyDescent="0.25">
      <c r="B37" s="453"/>
      <c r="C37" s="445"/>
      <c r="D37" s="148" t="s">
        <v>217</v>
      </c>
      <c r="E37" s="126" t="s">
        <v>159</v>
      </c>
      <c r="F37" s="127" t="s">
        <v>165</v>
      </c>
      <c r="G37" s="127" t="s">
        <v>157</v>
      </c>
      <c r="H37" s="149">
        <v>0.05</v>
      </c>
      <c r="I37" s="142">
        <v>0</v>
      </c>
      <c r="J37" s="294">
        <v>0</v>
      </c>
      <c r="K37" s="184">
        <f t="shared" si="9"/>
        <v>0</v>
      </c>
      <c r="L37" s="131">
        <f t="shared" si="16"/>
        <v>1</v>
      </c>
      <c r="M37" s="143">
        <f t="shared" ref="M37:M38" si="20">L37*H37</f>
        <v>0.05</v>
      </c>
      <c r="Q37" s="99"/>
      <c r="R37" s="100"/>
      <c r="S37" s="99"/>
    </row>
    <row r="38" spans="2:20" s="134" customFormat="1" ht="46.5" customHeight="1" x14ac:dyDescent="0.25">
      <c r="B38" s="453"/>
      <c r="C38" s="137" t="s">
        <v>177</v>
      </c>
      <c r="D38" s="148" t="s">
        <v>229</v>
      </c>
      <c r="E38" s="126" t="s">
        <v>159</v>
      </c>
      <c r="F38" s="127" t="s">
        <v>156</v>
      </c>
      <c r="G38" s="127" t="s">
        <v>157</v>
      </c>
      <c r="H38" s="149">
        <v>0.05</v>
      </c>
      <c r="I38" s="163">
        <v>1</v>
      </c>
      <c r="J38" s="183">
        <v>1</v>
      </c>
      <c r="K38" s="172">
        <f t="shared" si="9"/>
        <v>0</v>
      </c>
      <c r="L38" s="131">
        <f t="shared" si="16"/>
        <v>1</v>
      </c>
      <c r="M38" s="143">
        <f t="shared" si="20"/>
        <v>0.05</v>
      </c>
      <c r="Q38" s="99"/>
      <c r="R38" s="100"/>
      <c r="S38" s="99"/>
    </row>
    <row r="39" spans="2:20" ht="16.5" thickBot="1" x14ac:dyDescent="0.3">
      <c r="B39" s="454"/>
      <c r="C39" s="455" t="s">
        <v>178</v>
      </c>
      <c r="D39" s="455"/>
      <c r="E39" s="455"/>
      <c r="F39" s="455"/>
      <c r="G39" s="455"/>
      <c r="H39" s="188">
        <f>SUM(H30:H38)</f>
        <v>0.44999999999999996</v>
      </c>
      <c r="I39" s="189"/>
      <c r="J39" s="189"/>
      <c r="K39" s="189"/>
      <c r="L39" s="189"/>
      <c r="M39" s="190">
        <f>SUM(M30:M38)</f>
        <v>0.46666666666666662</v>
      </c>
    </row>
    <row r="40" spans="2:20" s="191" customFormat="1" ht="16.5" thickBot="1" x14ac:dyDescent="0.3">
      <c r="B40" s="192"/>
      <c r="C40" s="458" t="s">
        <v>179</v>
      </c>
      <c r="D40" s="458"/>
      <c r="E40" s="458"/>
      <c r="F40" s="458"/>
      <c r="G40" s="458"/>
      <c r="H40" s="193">
        <f>SUM(H39,H29,H20,H23)</f>
        <v>0.99999999999999989</v>
      </c>
      <c r="I40" s="194"/>
      <c r="J40" s="459" t="s">
        <v>180</v>
      </c>
      <c r="K40" s="460"/>
      <c r="L40" s="461"/>
      <c r="M40" s="195">
        <f>SUM(M16:M19,M24:M28,M30:M38,M21:M22)</f>
        <v>1.0541313613973038</v>
      </c>
      <c r="Q40" s="196"/>
      <c r="R40" s="100"/>
      <c r="S40" s="196"/>
    </row>
    <row r="41" spans="2:20" s="197" customFormat="1" ht="16.5" thickBot="1" x14ac:dyDescent="0.3">
      <c r="B41" s="198"/>
      <c r="C41" s="198"/>
      <c r="D41" s="198"/>
      <c r="E41" s="198"/>
      <c r="F41" s="199"/>
      <c r="G41" s="199"/>
      <c r="H41" s="200"/>
      <c r="I41" s="201"/>
      <c r="J41" s="459" t="s">
        <v>181</v>
      </c>
      <c r="K41" s="460"/>
      <c r="L41" s="460"/>
      <c r="M41" s="202" t="str">
        <f>IF(AND(H40&gt;100%,H40,100%),"Error",IF(M40&gt;=$M$6,"HP",IF(AND(M40&lt;$M$7,M40&gt;=$L$7),"P",IF(AND(M40&lt;$M$8,M40&gt;=$L$8),"T",IF(AND(M40&lt;$M$9,M40&gt;=$L$9),"C",IF(M40&lt;$M$10,"U"))))))</f>
        <v>P</v>
      </c>
      <c r="Q41" s="196"/>
      <c r="R41" s="100"/>
      <c r="S41" s="196"/>
    </row>
    <row r="43" spans="2:20" ht="16.5" thickBot="1" x14ac:dyDescent="0.3"/>
    <row r="44" spans="2:20" ht="32.25" thickBot="1" x14ac:dyDescent="0.3">
      <c r="B44" s="203" t="s">
        <v>137</v>
      </c>
      <c r="C44" s="204" t="s">
        <v>138</v>
      </c>
      <c r="D44" s="204" t="s">
        <v>139</v>
      </c>
      <c r="E44" s="205"/>
      <c r="F44" s="205" t="s">
        <v>141</v>
      </c>
      <c r="G44" s="205" t="s">
        <v>142</v>
      </c>
      <c r="H44" s="206" t="s">
        <v>182</v>
      </c>
      <c r="I44" s="207" t="s">
        <v>183</v>
      </c>
      <c r="J44" s="206" t="s">
        <v>184</v>
      </c>
      <c r="K44" s="206" t="s">
        <v>144</v>
      </c>
      <c r="L44" s="206" t="s">
        <v>185</v>
      </c>
      <c r="M44" s="206" t="s">
        <v>186</v>
      </c>
      <c r="Q44" s="98"/>
      <c r="T44" s="99"/>
    </row>
    <row r="45" spans="2:20" ht="16.5" thickBot="1" x14ac:dyDescent="0.3">
      <c r="B45" s="462" t="s">
        <v>187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4"/>
      <c r="Q45" s="98"/>
      <c r="T45" s="99"/>
    </row>
    <row r="46" spans="2:20" x14ac:dyDescent="0.25">
      <c r="B46" s="208"/>
      <c r="C46" s="209"/>
      <c r="D46" s="210"/>
      <c r="E46" s="210"/>
      <c r="F46" s="127" t="s">
        <v>156</v>
      </c>
      <c r="G46" s="127" t="s">
        <v>157</v>
      </c>
      <c r="H46" s="210"/>
      <c r="I46" s="211"/>
      <c r="J46" s="212"/>
      <c r="K46" s="212"/>
      <c r="L46" s="213">
        <f t="shared" ref="L46:L48" si="21">IFERROR(IF(AND(F46="Maximize",G46="Unlock"),IF(((J46-I46)/ABS(I46))+1&lt;0,0,((J46-I46)/ABS(I46))+1),IF(AND(F46="Maximize",G46="Lock"),IF(((J46-I46)/ABS(I46))+1&lt;0,0,IF(((J46-I46)/ABS(I46))+1&gt;$M$6,$M$6,((J46-I46)/ABS(I46))+1)),IF(AND(F46="Minimize",G46="Unlock"),IF(((I46-J46)/ABS(I46))+1&lt;0,0,((I46-J46)/ABS(I46))+1),IF(AND(F46="Minimize",G46="Lock"),IF(((I46-J46)/ABS(I46))+1&lt;0,0,IF(((I46-J46)/ABS(I46))+1&gt;$M$6,$M$6,((I46-J46)/ABS(I46))+1)),IF(F46="Min To Zero",IF(J46&gt;I46,0,IF(J46&lt;I46,0,100%))))))),0)</f>
        <v>0</v>
      </c>
      <c r="M46" s="214">
        <f>L46*H46</f>
        <v>0</v>
      </c>
      <c r="Q46" s="98"/>
      <c r="T46" s="99"/>
    </row>
    <row r="47" spans="2:20" x14ac:dyDescent="0.25">
      <c r="B47" s="215"/>
      <c r="C47" s="216"/>
      <c r="D47" s="217"/>
      <c r="E47" s="217"/>
      <c r="F47" s="127" t="s">
        <v>156</v>
      </c>
      <c r="G47" s="127" t="s">
        <v>157</v>
      </c>
      <c r="H47" s="217"/>
      <c r="I47" s="218"/>
      <c r="J47" s="219"/>
      <c r="K47" s="219"/>
      <c r="L47" s="220">
        <f t="shared" si="21"/>
        <v>0</v>
      </c>
      <c r="M47" s="221">
        <f>L47*H47</f>
        <v>0</v>
      </c>
      <c r="Q47" s="98"/>
      <c r="T47" s="99"/>
    </row>
    <row r="48" spans="2:20" ht="16.5" thickBot="1" x14ac:dyDescent="0.3">
      <c r="B48" s="222"/>
      <c r="C48" s="223"/>
      <c r="D48" s="224"/>
      <c r="E48" s="224"/>
      <c r="F48" s="127" t="s">
        <v>156</v>
      </c>
      <c r="G48" s="127" t="s">
        <v>157</v>
      </c>
      <c r="H48" s="224"/>
      <c r="I48" s="225"/>
      <c r="J48" s="226"/>
      <c r="K48" s="226"/>
      <c r="L48" s="227">
        <f t="shared" si="21"/>
        <v>0</v>
      </c>
      <c r="M48" s="228">
        <f>L48*H48</f>
        <v>0</v>
      </c>
      <c r="Q48" s="98"/>
      <c r="T48" s="99"/>
    </row>
    <row r="49" spans="2:20" ht="16.5" thickBot="1" x14ac:dyDescent="0.3">
      <c r="B49" s="465" t="s">
        <v>188</v>
      </c>
      <c r="C49" s="466"/>
      <c r="D49" s="229"/>
      <c r="E49" s="230"/>
      <c r="F49" s="230"/>
      <c r="G49" s="230"/>
      <c r="H49" s="230"/>
      <c r="I49" s="231"/>
      <c r="J49" s="465" t="s">
        <v>145</v>
      </c>
      <c r="K49" s="467"/>
      <c r="L49" s="466"/>
      <c r="M49" s="202">
        <f>SUM(M46:M48)+M40</f>
        <v>1.0541313613973038</v>
      </c>
      <c r="Q49" s="98"/>
      <c r="T49" s="99"/>
    </row>
    <row r="50" spans="2:20" ht="16.5" thickBot="1" x14ac:dyDescent="0.3">
      <c r="B50" s="465" t="s">
        <v>189</v>
      </c>
      <c r="C50" s="466"/>
      <c r="D50" s="232"/>
      <c r="E50" s="233"/>
      <c r="F50" s="233"/>
      <c r="G50" s="233"/>
      <c r="H50" s="233"/>
      <c r="I50" s="234"/>
      <c r="J50" s="465" t="s">
        <v>181</v>
      </c>
      <c r="K50" s="471"/>
      <c r="L50" s="472"/>
      <c r="M50" s="202" t="str">
        <f>IF(M49&gt;=M6,"HP",IF(AND(M49&lt;M7,M49&gt;=L7),"P",IF(AND(M49&lt;M8,M49&gt;=L8),"T",IF(AND(M49&lt;M9,M49&gt;=L9),"C",IF(M49&lt;M10,"U")))))</f>
        <v>P</v>
      </c>
      <c r="Q50" s="98"/>
      <c r="R50" s="237"/>
      <c r="T50" s="99"/>
    </row>
    <row r="51" spans="2:20" x14ac:dyDescent="0.25">
      <c r="R51" s="238"/>
    </row>
    <row r="52" spans="2:20" hidden="1" x14ac:dyDescent="0.25">
      <c r="B52" s="235" t="s">
        <v>190</v>
      </c>
      <c r="C52" s="235"/>
      <c r="D52" s="235"/>
      <c r="E52" s="235"/>
      <c r="F52" s="235"/>
      <c r="G52" s="235"/>
      <c r="H52" s="235"/>
      <c r="I52" s="235"/>
      <c r="J52" s="235"/>
      <c r="K52" s="236"/>
      <c r="L52" s="236"/>
      <c r="M52" s="236"/>
      <c r="N52" s="236"/>
      <c r="O52" s="236"/>
      <c r="P52" s="236"/>
      <c r="Q52" s="236"/>
      <c r="R52" s="238"/>
    </row>
    <row r="53" spans="2:20" hidden="1" x14ac:dyDescent="0.25">
      <c r="B53" s="440" t="s">
        <v>191</v>
      </c>
      <c r="C53" s="474" t="str">
        <f>B52</f>
        <v>KEY BEHAVIOR INDICATOR (BASED CHITOSE CORE VALUE)</v>
      </c>
      <c r="D53" s="474"/>
      <c r="E53" s="474"/>
      <c r="F53" s="474"/>
      <c r="G53" s="474"/>
      <c r="H53" s="474"/>
      <c r="I53" s="474"/>
      <c r="J53" s="474"/>
      <c r="K53" s="474"/>
      <c r="L53" s="475"/>
      <c r="M53" s="485" t="s">
        <v>192</v>
      </c>
      <c r="N53" s="99"/>
      <c r="Q53" s="98"/>
      <c r="R53" s="238"/>
      <c r="S53" s="98"/>
    </row>
    <row r="54" spans="2:20" ht="16.5" hidden="1" thickBot="1" x14ac:dyDescent="0.3">
      <c r="B54" s="441"/>
      <c r="C54" s="534"/>
      <c r="D54" s="534"/>
      <c r="E54" s="534"/>
      <c r="F54" s="534"/>
      <c r="G54" s="534"/>
      <c r="H54" s="534"/>
      <c r="I54" s="534"/>
      <c r="J54" s="534"/>
      <c r="K54" s="534"/>
      <c r="L54" s="535"/>
      <c r="M54" s="536"/>
      <c r="N54" s="99"/>
      <c r="Q54" s="98"/>
      <c r="R54" s="238"/>
      <c r="S54" s="98"/>
    </row>
    <row r="55" spans="2:20" hidden="1" x14ac:dyDescent="0.25">
      <c r="B55" s="239">
        <v>1</v>
      </c>
      <c r="C55" s="537" t="s">
        <v>193</v>
      </c>
      <c r="D55" s="537"/>
      <c r="E55" s="537"/>
      <c r="F55" s="537"/>
      <c r="G55" s="537"/>
      <c r="H55" s="537"/>
      <c r="I55" s="537"/>
      <c r="J55" s="537"/>
      <c r="K55" s="537"/>
      <c r="L55" s="538"/>
      <c r="M55" s="240">
        <v>0</v>
      </c>
      <c r="N55" s="99"/>
      <c r="Q55" s="98"/>
      <c r="R55" s="238"/>
      <c r="S55" s="98"/>
    </row>
    <row r="56" spans="2:20" hidden="1" x14ac:dyDescent="0.25">
      <c r="B56" s="241">
        <v>2</v>
      </c>
      <c r="C56" s="539" t="s">
        <v>194</v>
      </c>
      <c r="D56" s="540"/>
      <c r="E56" s="540"/>
      <c r="F56" s="540"/>
      <c r="G56" s="540"/>
      <c r="H56" s="540"/>
      <c r="I56" s="540"/>
      <c r="J56" s="540"/>
      <c r="K56" s="540"/>
      <c r="L56" s="541"/>
      <c r="M56" s="240">
        <v>0</v>
      </c>
      <c r="N56" s="99"/>
      <c r="Q56" s="98"/>
      <c r="R56" s="238"/>
      <c r="S56" s="98"/>
    </row>
    <row r="57" spans="2:20" hidden="1" x14ac:dyDescent="0.25">
      <c r="B57" s="239">
        <v>3</v>
      </c>
      <c r="C57" s="537" t="s">
        <v>195</v>
      </c>
      <c r="D57" s="537"/>
      <c r="E57" s="537"/>
      <c r="F57" s="537"/>
      <c r="G57" s="537"/>
      <c r="H57" s="537"/>
      <c r="I57" s="537"/>
      <c r="J57" s="537"/>
      <c r="K57" s="537"/>
      <c r="L57" s="538"/>
      <c r="M57" s="240">
        <v>0</v>
      </c>
      <c r="N57" s="99"/>
      <c r="Q57" s="98"/>
      <c r="R57" s="238"/>
      <c r="S57" s="98"/>
    </row>
    <row r="58" spans="2:20" hidden="1" x14ac:dyDescent="0.25">
      <c r="B58" s="241">
        <v>4</v>
      </c>
      <c r="C58" s="539" t="s">
        <v>196</v>
      </c>
      <c r="D58" s="540"/>
      <c r="E58" s="540"/>
      <c r="F58" s="540"/>
      <c r="G58" s="540"/>
      <c r="H58" s="540"/>
      <c r="I58" s="540"/>
      <c r="J58" s="540"/>
      <c r="K58" s="540"/>
      <c r="L58" s="541"/>
      <c r="M58" s="240">
        <v>0</v>
      </c>
      <c r="N58" s="99"/>
      <c r="Q58" s="98"/>
      <c r="R58" s="238"/>
      <c r="S58" s="98"/>
    </row>
    <row r="59" spans="2:20" hidden="1" x14ac:dyDescent="0.25">
      <c r="B59" s="239">
        <v>5</v>
      </c>
      <c r="C59" s="539" t="s">
        <v>197</v>
      </c>
      <c r="D59" s="540"/>
      <c r="E59" s="540"/>
      <c r="F59" s="540"/>
      <c r="G59" s="540"/>
      <c r="H59" s="540"/>
      <c r="I59" s="540"/>
      <c r="J59" s="540"/>
      <c r="K59" s="540"/>
      <c r="L59" s="541"/>
      <c r="M59" s="240">
        <v>0</v>
      </c>
      <c r="N59" s="99"/>
      <c r="Q59" s="98"/>
      <c r="R59" s="238"/>
      <c r="S59" s="98"/>
    </row>
    <row r="60" spans="2:20" ht="16.5" hidden="1" thickBot="1" x14ac:dyDescent="0.3">
      <c r="B60" s="542" t="s">
        <v>198</v>
      </c>
      <c r="C60" s="543"/>
      <c r="D60" s="543"/>
      <c r="E60" s="543"/>
      <c r="F60" s="543"/>
      <c r="G60" s="543"/>
      <c r="H60" s="543"/>
      <c r="I60" s="543"/>
      <c r="J60" s="543"/>
      <c r="K60" s="543"/>
      <c r="L60" s="544"/>
      <c r="M60" s="242"/>
      <c r="N60" s="99"/>
      <c r="O60" s="99"/>
      <c r="Q60" s="98"/>
      <c r="R60" s="251"/>
      <c r="S60" s="98"/>
    </row>
    <row r="61" spans="2:20" ht="16.5" hidden="1" thickBot="1" x14ac:dyDescent="0.3">
      <c r="B61" s="243"/>
      <c r="C61" s="244"/>
      <c r="D61" s="245"/>
      <c r="E61" s="245"/>
      <c r="F61" s="246"/>
      <c r="G61" s="246"/>
      <c r="H61" s="246"/>
      <c r="I61" s="246"/>
      <c r="J61" s="246"/>
      <c r="K61" s="246"/>
      <c r="L61" s="246" t="s">
        <v>199</v>
      </c>
      <c r="M61" s="247">
        <f>AVERAGE(M55:M60)</f>
        <v>0</v>
      </c>
      <c r="N61" s="99"/>
      <c r="O61" s="99"/>
      <c r="Q61" s="98"/>
      <c r="R61" s="238"/>
      <c r="S61" s="98"/>
    </row>
    <row r="62" spans="2:20" x14ac:dyDescent="0.25">
      <c r="B62" s="109"/>
      <c r="C62" s="109"/>
      <c r="D62" s="248"/>
      <c r="E62" s="248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50"/>
      <c r="Q62" s="250"/>
      <c r="R62" s="238"/>
    </row>
    <row r="63" spans="2:20" x14ac:dyDescent="0.25">
      <c r="B63" s="249"/>
      <c r="C63" s="122"/>
      <c r="D63" s="122"/>
      <c r="E63" s="122"/>
      <c r="F63" s="249"/>
      <c r="G63" s="249"/>
      <c r="H63" s="249"/>
      <c r="I63" s="249"/>
      <c r="J63" s="249"/>
      <c r="K63" s="249"/>
      <c r="L63" s="249"/>
      <c r="M63" s="101"/>
      <c r="N63" s="101"/>
      <c r="O63" s="99"/>
      <c r="Q63" s="98"/>
      <c r="R63" s="253"/>
      <c r="S63" s="98"/>
    </row>
    <row r="64" spans="2:20" x14ac:dyDescent="0.25">
      <c r="B64" s="122"/>
      <c r="C64" s="122"/>
      <c r="D64" s="249"/>
      <c r="E64" s="249"/>
      <c r="F64" s="236"/>
      <c r="G64" s="236"/>
      <c r="H64" s="236"/>
      <c r="I64" s="236"/>
      <c r="J64" s="236"/>
      <c r="K64" s="236"/>
      <c r="L64" s="236"/>
      <c r="M64" s="236"/>
      <c r="N64" s="236"/>
      <c r="O64" s="99"/>
      <c r="Q64" s="98"/>
      <c r="R64" s="238"/>
      <c r="S64" s="98"/>
    </row>
    <row r="65" spans="2:19" ht="16.5" thickBot="1" x14ac:dyDescent="0.3">
      <c r="B65" s="248"/>
      <c r="C65" s="248"/>
      <c r="D65" s="252"/>
      <c r="E65" s="252"/>
      <c r="F65" s="248"/>
      <c r="G65" s="248"/>
      <c r="H65" s="248"/>
      <c r="I65" s="248"/>
      <c r="J65" s="248"/>
      <c r="K65" s="248"/>
      <c r="L65" s="248"/>
      <c r="M65" s="248"/>
      <c r="N65" s="248"/>
      <c r="O65" s="252"/>
      <c r="P65" s="248"/>
      <c r="Q65" s="248"/>
      <c r="R65" s="238"/>
    </row>
    <row r="66" spans="2:19" x14ac:dyDescent="0.25">
      <c r="B66" s="468" t="s">
        <v>200</v>
      </c>
      <c r="C66" s="469"/>
      <c r="D66" s="470"/>
      <c r="E66" s="254"/>
      <c r="F66" s="468" t="s">
        <v>201</v>
      </c>
      <c r="G66" s="469"/>
      <c r="H66" s="469"/>
      <c r="I66" s="469"/>
      <c r="J66" s="469"/>
      <c r="K66" s="469"/>
      <c r="L66" s="469"/>
      <c r="M66" s="470"/>
      <c r="N66" s="99"/>
      <c r="Q66" s="98"/>
      <c r="R66" s="238"/>
      <c r="S66" s="98"/>
    </row>
    <row r="67" spans="2:19" x14ac:dyDescent="0.25">
      <c r="B67" s="255" t="str">
        <f>C6</f>
        <v>Direktorat Administarasi</v>
      </c>
      <c r="C67" s="256" t="s">
        <v>202</v>
      </c>
      <c r="D67" s="257" t="s">
        <v>133</v>
      </c>
      <c r="E67" s="258"/>
      <c r="F67" s="552" t="s">
        <v>128</v>
      </c>
      <c r="G67" s="553"/>
      <c r="H67" s="554"/>
      <c r="I67" s="555" t="s">
        <v>202</v>
      </c>
      <c r="J67" s="556"/>
      <c r="K67" s="552" t="s">
        <v>133</v>
      </c>
      <c r="L67" s="553"/>
      <c r="M67" s="557"/>
      <c r="N67" s="99"/>
      <c r="Q67" s="98"/>
      <c r="R67" s="238"/>
      <c r="S67" s="98"/>
    </row>
    <row r="68" spans="2:19" x14ac:dyDescent="0.25">
      <c r="B68" s="499" t="str">
        <f>C8</f>
        <v>R. Nurwulan Kusumawati</v>
      </c>
      <c r="C68" s="502" t="s">
        <v>131</v>
      </c>
      <c r="D68" s="505">
        <f>C9</f>
        <v>0</v>
      </c>
      <c r="E68" s="259"/>
      <c r="F68" s="508" t="str">
        <f>B68</f>
        <v>R. Nurwulan Kusumawati</v>
      </c>
      <c r="G68" s="509"/>
      <c r="H68" s="510"/>
      <c r="I68" s="545" t="str">
        <f>C68</f>
        <v>Kazuhito Aminaka</v>
      </c>
      <c r="J68" s="546"/>
      <c r="K68" s="508">
        <f>D68</f>
        <v>0</v>
      </c>
      <c r="L68" s="509"/>
      <c r="M68" s="546"/>
      <c r="N68" s="99"/>
      <c r="Q68" s="98"/>
      <c r="R68" s="238"/>
      <c r="S68" s="98"/>
    </row>
    <row r="69" spans="2:19" x14ac:dyDescent="0.25">
      <c r="B69" s="500"/>
      <c r="C69" s="503"/>
      <c r="D69" s="506"/>
      <c r="E69" s="260"/>
      <c r="F69" s="511"/>
      <c r="G69" s="419"/>
      <c r="H69" s="512"/>
      <c r="I69" s="418"/>
      <c r="J69" s="420"/>
      <c r="K69" s="511"/>
      <c r="L69" s="419"/>
      <c r="M69" s="420"/>
      <c r="N69" s="99"/>
      <c r="Q69" s="98"/>
      <c r="R69" s="238"/>
      <c r="S69" s="98"/>
    </row>
    <row r="70" spans="2:19" x14ac:dyDescent="0.25">
      <c r="B70" s="500"/>
      <c r="C70" s="503"/>
      <c r="D70" s="506"/>
      <c r="E70" s="260"/>
      <c r="F70" s="511"/>
      <c r="G70" s="419"/>
      <c r="H70" s="512"/>
      <c r="I70" s="418"/>
      <c r="J70" s="420"/>
      <c r="K70" s="511"/>
      <c r="L70" s="419"/>
      <c r="M70" s="420"/>
      <c r="N70" s="99"/>
      <c r="Q70" s="98"/>
      <c r="R70" s="238"/>
      <c r="S70" s="98"/>
    </row>
    <row r="71" spans="2:19" ht="16.5" thickBot="1" x14ac:dyDescent="0.3">
      <c r="B71" s="501"/>
      <c r="C71" s="504"/>
      <c r="D71" s="507"/>
      <c r="E71" s="261"/>
      <c r="F71" s="513"/>
      <c r="G71" s="514"/>
      <c r="H71" s="515"/>
      <c r="I71" s="547"/>
      <c r="J71" s="548"/>
      <c r="K71" s="513"/>
      <c r="L71" s="514"/>
      <c r="M71" s="548"/>
      <c r="N71" s="99"/>
      <c r="Q71" s="98"/>
      <c r="S71" s="98"/>
    </row>
    <row r="72" spans="2:19" ht="16.5" thickBot="1" x14ac:dyDescent="0.3">
      <c r="B72" s="262" t="s">
        <v>203</v>
      </c>
      <c r="C72" s="263" t="s">
        <v>203</v>
      </c>
      <c r="D72" s="264" t="s">
        <v>203</v>
      </c>
      <c r="E72" s="265"/>
      <c r="F72" s="490" t="s">
        <v>203</v>
      </c>
      <c r="G72" s="491"/>
      <c r="H72" s="549"/>
      <c r="I72" s="550" t="s">
        <v>203</v>
      </c>
      <c r="J72" s="491"/>
      <c r="K72" s="491" t="s">
        <v>203</v>
      </c>
      <c r="L72" s="491"/>
      <c r="M72" s="551"/>
      <c r="N72" s="99"/>
      <c r="Q72" s="98"/>
      <c r="S72" s="98"/>
    </row>
  </sheetData>
  <sheetProtection formatCells="0" formatColumns="0" insertRows="0" deleteRows="0"/>
  <mergeCells count="69">
    <mergeCell ref="F72:H72"/>
    <mergeCell ref="I72:J72"/>
    <mergeCell ref="K72:M72"/>
    <mergeCell ref="F67:H67"/>
    <mergeCell ref="I67:J67"/>
    <mergeCell ref="K67:M67"/>
    <mergeCell ref="K68:M71"/>
    <mergeCell ref="B68:B71"/>
    <mergeCell ref="C68:C71"/>
    <mergeCell ref="D68:D71"/>
    <mergeCell ref="F68:H71"/>
    <mergeCell ref="I68:J71"/>
    <mergeCell ref="B66:D66"/>
    <mergeCell ref="F66:M66"/>
    <mergeCell ref="B50:C50"/>
    <mergeCell ref="J50:L50"/>
    <mergeCell ref="B53:B54"/>
    <mergeCell ref="C53:L54"/>
    <mergeCell ref="M53:M54"/>
    <mergeCell ref="C55:L55"/>
    <mergeCell ref="C56:L56"/>
    <mergeCell ref="C57:L57"/>
    <mergeCell ref="C58:L58"/>
    <mergeCell ref="C59:L59"/>
    <mergeCell ref="B60:L60"/>
    <mergeCell ref="C40:G40"/>
    <mergeCell ref="J40:L40"/>
    <mergeCell ref="J41:L41"/>
    <mergeCell ref="B45:M45"/>
    <mergeCell ref="B49:C49"/>
    <mergeCell ref="J49:L49"/>
    <mergeCell ref="B30:B39"/>
    <mergeCell ref="C30:C35"/>
    <mergeCell ref="C36:C37"/>
    <mergeCell ref="C39:G39"/>
    <mergeCell ref="B24:B29"/>
    <mergeCell ref="C29:G29"/>
    <mergeCell ref="C24:C27"/>
    <mergeCell ref="B16:B20"/>
    <mergeCell ref="C16:C17"/>
    <mergeCell ref="C20:G20"/>
    <mergeCell ref="B21:B23"/>
    <mergeCell ref="C21:C22"/>
    <mergeCell ref="C23:G23"/>
    <mergeCell ref="B14:B15"/>
    <mergeCell ref="C14:C15"/>
    <mergeCell ref="D14:D15"/>
    <mergeCell ref="E14:E15"/>
    <mergeCell ref="F14:F15"/>
    <mergeCell ref="G14:G15"/>
    <mergeCell ref="D8:D9"/>
    <mergeCell ref="E8:H9"/>
    <mergeCell ref="I8:I10"/>
    <mergeCell ref="J8:K8"/>
    <mergeCell ref="J9:K9"/>
    <mergeCell ref="E10:H10"/>
    <mergeCell ref="J10:K10"/>
    <mergeCell ref="B8:B9"/>
    <mergeCell ref="C6:C7"/>
    <mergeCell ref="C8:C9"/>
    <mergeCell ref="B3:M3"/>
    <mergeCell ref="B4:M4"/>
    <mergeCell ref="J5:M5"/>
    <mergeCell ref="D6:D7"/>
    <mergeCell ref="E6:H7"/>
    <mergeCell ref="I6:I7"/>
    <mergeCell ref="J6:K6"/>
    <mergeCell ref="J7:K7"/>
    <mergeCell ref="B6:B7"/>
  </mergeCells>
  <conditionalFormatting sqref="E8 L16:L19 L24:L28 L30:L38">
    <cfRule type="cellIs" dxfId="306" priority="28" operator="greaterThan">
      <formula>1.25</formula>
    </cfRule>
    <cfRule type="cellIs" dxfId="305" priority="36" operator="lessThan">
      <formula>0.8</formula>
    </cfRule>
    <cfRule type="cellIs" dxfId="304" priority="35" operator="equal">
      <formula>0.8</formula>
    </cfRule>
    <cfRule type="cellIs" dxfId="303" priority="34" operator="greaterThan">
      <formula>0.8</formula>
    </cfRule>
    <cfRule type="cellIs" dxfId="302" priority="33" operator="equal">
      <formula>0.95</formula>
    </cfRule>
    <cfRule type="cellIs" dxfId="301" priority="32" operator="greaterThan">
      <formula>0.95</formula>
    </cfRule>
    <cfRule type="cellIs" dxfId="300" priority="31" operator="equal">
      <formula>1.05</formula>
    </cfRule>
    <cfRule type="cellIs" dxfId="299" priority="30" operator="greaterThan">
      <formula>1.05</formula>
    </cfRule>
    <cfRule type="cellIs" dxfId="298" priority="29" operator="equal">
      <formula>1.25</formula>
    </cfRule>
  </conditionalFormatting>
  <conditionalFormatting sqref="E10:E13">
    <cfRule type="containsText" dxfId="297" priority="37" operator="containsText" text="U">
      <formula>NOT(ISERROR(SEARCH("U",E10)))</formula>
    </cfRule>
    <cfRule type="containsText" dxfId="296" priority="38" operator="containsText" text="C">
      <formula>NOT(ISERROR(SEARCH("C",E10)))</formula>
    </cfRule>
    <cfRule type="containsText" dxfId="295" priority="39" operator="containsText" text="T">
      <formula>NOT(ISERROR(SEARCH("T",E10)))</formula>
    </cfRule>
    <cfRule type="containsText" dxfId="294" priority="40" operator="containsText" text="P">
      <formula>NOT(ISERROR(SEARCH("P",E10)))</formula>
    </cfRule>
    <cfRule type="containsText" dxfId="293" priority="41" operator="containsText" text="HP">
      <formula>NOT(ISERROR(SEARCH("HP",E10)))</formula>
    </cfRule>
  </conditionalFormatting>
  <conditionalFormatting sqref="L21:L22">
    <cfRule type="cellIs" dxfId="292" priority="6" operator="equal">
      <formula>0.95</formula>
    </cfRule>
    <cfRule type="cellIs" dxfId="291" priority="7" operator="greaterThan">
      <formula>0.8</formula>
    </cfRule>
    <cfRule type="cellIs" dxfId="290" priority="8" operator="equal">
      <formula>0.8</formula>
    </cfRule>
    <cfRule type="cellIs" dxfId="289" priority="9" operator="lessThan">
      <formula>0.8</formula>
    </cfRule>
    <cfRule type="cellIs" dxfId="288" priority="1" operator="greaterThan">
      <formula>1.25</formula>
    </cfRule>
    <cfRule type="cellIs" dxfId="287" priority="2" operator="equal">
      <formula>1.25</formula>
    </cfRule>
    <cfRule type="cellIs" dxfId="286" priority="3" operator="greaterThan">
      <formula>1.05</formula>
    </cfRule>
    <cfRule type="cellIs" dxfId="285" priority="4" operator="equal">
      <formula>1.05</formula>
    </cfRule>
    <cfRule type="cellIs" dxfId="284" priority="5" operator="greaterThan">
      <formula>0.95</formula>
    </cfRule>
  </conditionalFormatting>
  <conditionalFormatting sqref="L46:L48">
    <cfRule type="cellIs" dxfId="283" priority="23" operator="greaterThan">
      <formula>0.95</formula>
    </cfRule>
    <cfRule type="cellIs" dxfId="282" priority="22" operator="equal">
      <formula>1.05</formula>
    </cfRule>
    <cfRule type="cellIs" dxfId="281" priority="21" operator="greaterThan">
      <formula>1.05</formula>
    </cfRule>
    <cfRule type="cellIs" dxfId="280" priority="20" operator="equal">
      <formula>1.25</formula>
    </cfRule>
    <cfRule type="cellIs" dxfId="279" priority="19" operator="greaterThan">
      <formula>1.25</formula>
    </cfRule>
    <cfRule type="cellIs" dxfId="278" priority="27" operator="lessThan">
      <formula>0.8</formula>
    </cfRule>
    <cfRule type="cellIs" dxfId="277" priority="26" operator="equal">
      <formula>0.8</formula>
    </cfRule>
    <cfRule type="cellIs" dxfId="276" priority="25" operator="greaterThan">
      <formula>0.8</formula>
    </cfRule>
    <cfRule type="cellIs" dxfId="275" priority="24" operator="equal">
      <formula>0.95</formula>
    </cfRule>
  </conditionalFormatting>
  <conditionalFormatting sqref="M44 M46:M48">
    <cfRule type="cellIs" dxfId="274" priority="42" stopIfTrue="1" operator="equal">
      <formula>"U"</formula>
    </cfRule>
    <cfRule type="cellIs" dxfId="273" priority="43" stopIfTrue="1" operator="equal">
      <formula>"HP"</formula>
    </cfRule>
    <cfRule type="cellIs" dxfId="272" priority="44" stopIfTrue="1" operator="equal">
      <formula>"P"</formula>
    </cfRule>
    <cfRule type="cellIs" dxfId="271" priority="45" stopIfTrue="1" operator="equal">
      <formula>"T"</formula>
    </cfRule>
    <cfRule type="cellIs" dxfId="270" priority="46" stopIfTrue="1" operator="equal">
      <formula>"C"</formula>
    </cfRule>
  </conditionalFormatting>
  <dataValidations count="4">
    <dataValidation type="list" allowBlank="1" showInputMessage="1" showErrorMessage="1" sqref="G21:G22 G46:G48 G16:G19 G30:G38 G24:G28" xr:uid="{D5764FFC-12A5-40C9-8E8E-B23AE8C4DF21}">
      <formula1>$T$10:$T$11</formula1>
    </dataValidation>
    <dataValidation type="list" allowBlank="1" showInputMessage="1" showErrorMessage="1" sqref="F21:F22 F46:F48 F16:F19 F30:F38 F24:F28" xr:uid="{6680DA66-C6C2-4DA8-A487-F296A427149A}">
      <formula1>$S$10:$S$14</formula1>
    </dataValidation>
    <dataValidation type="list" allowBlank="1" showInputMessage="1" showErrorMessage="1" sqref="E6:H7" xr:uid="{7978B5B2-3059-42C4-B299-F29BCA909824}">
      <formula1>$R$6:$R$7</formula1>
    </dataValidation>
    <dataValidation type="list" allowBlank="1" showInputMessage="1" showErrorMessage="1" sqref="B12:B13" xr:uid="{51A6D9CD-24EB-48F9-8524-2BC5AD402384}">
      <formula1>$R$8:$R$17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0" max="12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C71"/>
  <sheetViews>
    <sheetView zoomScale="85" zoomScaleNormal="85" workbookViewId="0">
      <selection activeCell="C11" sqref="C11"/>
    </sheetView>
  </sheetViews>
  <sheetFormatPr defaultRowHeight="15" x14ac:dyDescent="0.25"/>
  <cols>
    <col min="1" max="1" width="19.85546875" bestFit="1" customWidth="1"/>
    <col min="2" max="4" width="10.5703125" bestFit="1" customWidth="1"/>
    <col min="14" max="14" width="16.7109375" bestFit="1" customWidth="1"/>
    <col min="16" max="16" width="12.5703125" customWidth="1"/>
    <col min="29" max="29" width="16.7109375" bestFit="1" customWidth="1"/>
  </cols>
  <sheetData>
    <row r="1" spans="1:14" x14ac:dyDescent="0.25">
      <c r="A1" s="6" t="s">
        <v>46</v>
      </c>
      <c r="B1" t="s">
        <v>239</v>
      </c>
    </row>
    <row r="2" spans="1:14" x14ac:dyDescent="0.25">
      <c r="A2" s="5" t="s">
        <v>45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95</v>
      </c>
    </row>
    <row r="3" spans="1:14" x14ac:dyDescent="0.25">
      <c r="A3" s="5" t="s">
        <v>41</v>
      </c>
      <c r="B3" s="3">
        <v>5.5858333333333334</v>
      </c>
      <c r="C3" s="3">
        <v>5.5858333333333334</v>
      </c>
      <c r="D3" s="3">
        <v>5.5858333333333334</v>
      </c>
      <c r="E3" s="3">
        <v>5.5858333333333334</v>
      </c>
      <c r="F3" s="3">
        <v>5.5858333333333334</v>
      </c>
      <c r="G3" s="3">
        <v>5.5858333333333334</v>
      </c>
      <c r="H3" s="3">
        <v>5.5858333333333334</v>
      </c>
      <c r="I3" s="3">
        <v>5.5858333333333334</v>
      </c>
      <c r="J3" s="3">
        <v>5.5858333333333334</v>
      </c>
      <c r="K3" s="3">
        <v>5.5858333333333334</v>
      </c>
      <c r="L3" s="3">
        <v>5.5858333333333334</v>
      </c>
      <c r="M3" s="3">
        <v>5.5858333333333334</v>
      </c>
      <c r="N3" s="7">
        <f>SUM(B3:M3)</f>
        <v>67.03</v>
      </c>
    </row>
    <row r="4" spans="1:14" x14ac:dyDescent="0.25">
      <c r="A4" s="5" t="s">
        <v>42</v>
      </c>
      <c r="B4" s="3">
        <v>5.39</v>
      </c>
      <c r="C4" s="3">
        <v>3</v>
      </c>
      <c r="D4" s="3">
        <v>2</v>
      </c>
      <c r="E4" s="3">
        <v>5</v>
      </c>
      <c r="F4" s="3">
        <v>6</v>
      </c>
      <c r="G4" s="3">
        <v>3</v>
      </c>
      <c r="H4" s="3">
        <v>6</v>
      </c>
      <c r="I4" s="3">
        <v>7</v>
      </c>
      <c r="J4" s="3">
        <v>8</v>
      </c>
      <c r="K4" s="3">
        <v>5.3858333333333333</v>
      </c>
      <c r="L4" s="3">
        <v>5.3858333333333333</v>
      </c>
      <c r="M4" s="3">
        <v>6</v>
      </c>
      <c r="N4" s="7">
        <f>SUM(B4:M4)</f>
        <v>62.161666666666662</v>
      </c>
    </row>
    <row r="5" spans="1:14" x14ac:dyDescent="0.25">
      <c r="A5" s="5" t="s">
        <v>96</v>
      </c>
      <c r="B5" s="3">
        <f>B4</f>
        <v>5.39</v>
      </c>
      <c r="C5" s="3">
        <f>SUM($B$4:M$4)</f>
        <v>62.161666666666662</v>
      </c>
      <c r="D5" s="3">
        <f>SUM($B$4:M$4)</f>
        <v>62.161666666666662</v>
      </c>
      <c r="E5" s="3">
        <f>SUM($B$4:M$4)</f>
        <v>62.161666666666662</v>
      </c>
      <c r="F5" s="3">
        <f>SUM($B$4:M$4)</f>
        <v>62.161666666666662</v>
      </c>
      <c r="G5" s="3">
        <f>SUM($B$4:M$4)</f>
        <v>62.161666666666662</v>
      </c>
      <c r="H5" s="3">
        <f>SUM($B$4:M$4)</f>
        <v>62.161666666666662</v>
      </c>
      <c r="I5" s="3">
        <f>SUM($B$4:M$4)</f>
        <v>62.161666666666662</v>
      </c>
      <c r="J5" s="3">
        <f>SUM($B$4:M$4)</f>
        <v>62.161666666666662</v>
      </c>
      <c r="K5" s="3">
        <f>SUM($B$4:M$4)</f>
        <v>62.161666666666662</v>
      </c>
      <c r="L5" s="3">
        <f>SUM($B$4:M$4)</f>
        <v>62.161666666666662</v>
      </c>
      <c r="M5" s="3">
        <f>SUM($B$4:M$4)</f>
        <v>62.161666666666662</v>
      </c>
      <c r="N5" s="7"/>
    </row>
    <row r="6" spans="1:14" x14ac:dyDescent="0.25">
      <c r="A6" s="5" t="s">
        <v>43</v>
      </c>
      <c r="B6" s="4">
        <f>B4/B3</f>
        <v>0.9649410711621661</v>
      </c>
      <c r="C6" s="4">
        <f t="shared" ref="C6:N6" si="0">C4/C3</f>
        <v>0.53707295240936892</v>
      </c>
      <c r="D6" s="4">
        <f t="shared" si="0"/>
        <v>0.35804863493957928</v>
      </c>
      <c r="E6" s="4">
        <f t="shared" si="0"/>
        <v>0.8951215873489482</v>
      </c>
      <c r="F6" s="4">
        <f t="shared" si="0"/>
        <v>1.0741459048187378</v>
      </c>
      <c r="G6" s="4">
        <f t="shared" si="0"/>
        <v>0.53707295240936892</v>
      </c>
      <c r="H6" s="4">
        <f t="shared" si="0"/>
        <v>1.0741459048187378</v>
      </c>
      <c r="I6" s="4">
        <f t="shared" si="0"/>
        <v>1.2531702222885275</v>
      </c>
      <c r="J6" s="4">
        <f t="shared" si="0"/>
        <v>1.4321945397583171</v>
      </c>
      <c r="K6" s="4">
        <f t="shared" si="0"/>
        <v>0.96419513650604205</v>
      </c>
      <c r="L6" s="4">
        <f t="shared" si="0"/>
        <v>0.96419513650604205</v>
      </c>
      <c r="M6" s="4">
        <f t="shared" si="0"/>
        <v>1.0741459048187378</v>
      </c>
      <c r="N6" s="4">
        <f t="shared" si="0"/>
        <v>0.9273708289820477</v>
      </c>
    </row>
    <row r="7" spans="1:14" x14ac:dyDescent="0.25">
      <c r="A7" s="5" t="s">
        <v>44</v>
      </c>
      <c r="B7" s="4">
        <f>SUM($B$4:B$4)/SUM($B$3:B$3)</f>
        <v>0.9649410711621661</v>
      </c>
      <c r="C7" s="4">
        <f>SUM($B$4:C$4)/SUM($B$3:C$3)</f>
        <v>0.75100701178576756</v>
      </c>
      <c r="D7" s="4">
        <f>SUM($B$4:D$4)/SUM($B$3:D$3)</f>
        <v>0.62002088617037154</v>
      </c>
      <c r="E7" s="4">
        <f>SUM($B$4:E$4)/SUM($B$3:E$3)</f>
        <v>0.68879606146501571</v>
      </c>
      <c r="F7" s="4">
        <f>SUM($B$4:F$4)/SUM($B$3:F$3)</f>
        <v>0.76586603013576016</v>
      </c>
      <c r="G7" s="4">
        <f>SUM($B$4:G$4)/SUM($B$3:G$3)</f>
        <v>0.72773385051469497</v>
      </c>
      <c r="H7" s="4">
        <f>SUM($B$4:H$4)/SUM($B$3:H$3)</f>
        <v>0.77722128684384395</v>
      </c>
      <c r="I7" s="4">
        <f>SUM($B$4:I$4)/SUM($B$3:I$3)</f>
        <v>0.83671490377442936</v>
      </c>
      <c r="J7" s="4">
        <f>SUM($B$4:J$4)/SUM($B$3:J$3)</f>
        <v>0.90287930777263914</v>
      </c>
      <c r="K7" s="4">
        <f>SUM($B$4:K$4)/SUM($B$3:K$3)</f>
        <v>0.9090108906459794</v>
      </c>
      <c r="L7" s="4">
        <f>SUM($B$4:L$4)/SUM($B$3:L$3)</f>
        <v>0.91402764026962136</v>
      </c>
      <c r="M7" s="4">
        <f>SUM($B$4:M$4)/SUM($B$3:M$3)</f>
        <v>0.9273708289820477</v>
      </c>
      <c r="N7" s="4"/>
    </row>
    <row r="10" spans="1:14" x14ac:dyDescent="0.25">
      <c r="A10" s="6" t="s">
        <v>46</v>
      </c>
      <c r="B10" t="s">
        <v>239</v>
      </c>
    </row>
    <row r="11" spans="1:14" x14ac:dyDescent="0.25">
      <c r="A11" s="5" t="s">
        <v>47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95</v>
      </c>
    </row>
    <row r="12" spans="1:14" x14ac:dyDescent="0.25">
      <c r="A12" s="5" t="s">
        <v>41</v>
      </c>
      <c r="B12" s="3">
        <v>1.5868333333333335</v>
      </c>
      <c r="C12" s="3">
        <v>1.5868333333333335</v>
      </c>
      <c r="D12" s="3">
        <v>1.5868333333333335</v>
      </c>
      <c r="E12" s="3">
        <v>1.5868333333333335</v>
      </c>
      <c r="F12" s="3">
        <v>1.5868333333333335</v>
      </c>
      <c r="G12" s="3">
        <v>1.5868333333333335</v>
      </c>
      <c r="H12" s="3">
        <v>1.5868333333333335</v>
      </c>
      <c r="I12" s="3">
        <v>1.5868333333333335</v>
      </c>
      <c r="J12" s="3">
        <v>1.5868333333333335</v>
      </c>
      <c r="K12" s="3">
        <v>1.5868333333333335</v>
      </c>
      <c r="L12" s="3">
        <v>1.5868333333333335</v>
      </c>
      <c r="M12" s="3">
        <v>1.5868333333333335</v>
      </c>
      <c r="N12" s="292">
        <f>SUM(B12:M12)</f>
        <v>19.042000000000002</v>
      </c>
    </row>
    <row r="13" spans="1:14" x14ac:dyDescent="0.25">
      <c r="A13" s="5" t="s">
        <v>42</v>
      </c>
      <c r="B13" s="3">
        <v>1.3</v>
      </c>
      <c r="C13" s="3">
        <v>1.4</v>
      </c>
      <c r="D13" s="3">
        <v>1.21</v>
      </c>
      <c r="E13" s="3">
        <v>1.1000000000000001</v>
      </c>
      <c r="F13" s="3">
        <v>1</v>
      </c>
      <c r="G13" s="3">
        <v>1.2</v>
      </c>
      <c r="H13" s="3">
        <v>1.6</v>
      </c>
      <c r="I13" s="3">
        <v>1.7</v>
      </c>
      <c r="J13" s="3">
        <v>1.3</v>
      </c>
      <c r="K13" s="3">
        <v>1.1000000000000001</v>
      </c>
      <c r="L13" s="3">
        <v>1</v>
      </c>
      <c r="M13" s="3">
        <v>1.2</v>
      </c>
      <c r="N13" s="7">
        <f>SUM(B13:M13)</f>
        <v>15.11</v>
      </c>
    </row>
    <row r="14" spans="1:14" x14ac:dyDescent="0.25">
      <c r="A14" s="5" t="s">
        <v>96</v>
      </c>
      <c r="B14" s="3">
        <f>B13</f>
        <v>1.3</v>
      </c>
      <c r="C14" s="3">
        <f>SUM($B$13:C$13)</f>
        <v>2.7</v>
      </c>
      <c r="D14" s="3">
        <f>SUM($B$13:D$13)</f>
        <v>3.91</v>
      </c>
      <c r="E14" s="3">
        <f>SUM($B$13:E$13)</f>
        <v>5.01</v>
      </c>
      <c r="F14" s="3">
        <f>SUM($B$13:F$13)</f>
        <v>6.01</v>
      </c>
      <c r="G14" s="3">
        <f>SUM($B$13:G$13)</f>
        <v>7.21</v>
      </c>
      <c r="H14" s="3">
        <f>SUM($B$13:H$13)</f>
        <v>8.81</v>
      </c>
      <c r="I14" s="3">
        <f>SUM($B$13:I$13)</f>
        <v>10.51</v>
      </c>
      <c r="J14" s="3">
        <f>SUM($B$13:J$13)</f>
        <v>11.81</v>
      </c>
      <c r="K14" s="3">
        <f>SUM($B$13:K$13)</f>
        <v>12.91</v>
      </c>
      <c r="L14" s="3">
        <f>SUM($B$13:L$13)</f>
        <v>13.91</v>
      </c>
      <c r="M14" s="3">
        <f>SUM($B$13:M$13)</f>
        <v>15.11</v>
      </c>
      <c r="N14" s="7"/>
    </row>
    <row r="15" spans="1:14" x14ac:dyDescent="0.25">
      <c r="A15" s="5" t="s">
        <v>43</v>
      </c>
      <c r="B15" s="4">
        <f>B13/B12</f>
        <v>0.81924167629450684</v>
      </c>
      <c r="C15" s="4">
        <f t="shared" ref="C15:N15" si="1">C13/C12</f>
        <v>0.88226026677869951</v>
      </c>
      <c r="D15" s="4">
        <f t="shared" si="1"/>
        <v>0.76252494485873323</v>
      </c>
      <c r="E15" s="4">
        <f t="shared" si="1"/>
        <v>0.69320449532612116</v>
      </c>
      <c r="F15" s="4">
        <f t="shared" si="1"/>
        <v>0.63018590484192827</v>
      </c>
      <c r="G15" s="4">
        <f t="shared" si="1"/>
        <v>0.75622308581031394</v>
      </c>
      <c r="H15" s="4">
        <f t="shared" si="1"/>
        <v>1.0082974477470854</v>
      </c>
      <c r="I15" s="4">
        <f t="shared" si="1"/>
        <v>1.0713160382312781</v>
      </c>
      <c r="J15" s="4">
        <f t="shared" si="1"/>
        <v>0.81924167629450684</v>
      </c>
      <c r="K15" s="4">
        <f t="shared" si="1"/>
        <v>0.69320449532612116</v>
      </c>
      <c r="L15" s="4">
        <f t="shared" si="1"/>
        <v>0.63018590484192827</v>
      </c>
      <c r="M15" s="4">
        <f t="shared" si="1"/>
        <v>0.75622308581031394</v>
      </c>
      <c r="N15" s="4">
        <f t="shared" si="1"/>
        <v>0.79350908518012808</v>
      </c>
    </row>
    <row r="16" spans="1:14" x14ac:dyDescent="0.25">
      <c r="A16" s="5" t="s">
        <v>44</v>
      </c>
      <c r="B16" s="4">
        <f>SUM($B$13:B$13)/SUM($B$12:B$12)</f>
        <v>0.81924167629450684</v>
      </c>
      <c r="C16" s="4">
        <f>SUM($B$13:C$13)/SUM($B$12:C$12)</f>
        <v>0.85075097153660328</v>
      </c>
      <c r="D16" s="4">
        <f>SUM($B$13:D$13)/SUM($B$12:D$12)</f>
        <v>0.82134229597731323</v>
      </c>
      <c r="E16" s="4">
        <f>SUM($B$13:E$13)/SUM($B$12:E$12)</f>
        <v>0.78930784581451519</v>
      </c>
      <c r="F16" s="4">
        <f>SUM($B$13:F$13)/SUM($B$12:F$12)</f>
        <v>0.7574834576199978</v>
      </c>
      <c r="G16" s="4">
        <f>SUM($B$13:G$13)/SUM($B$12:G$12)</f>
        <v>0.75727339565171714</v>
      </c>
      <c r="H16" s="4">
        <f>SUM($B$13:H$13)/SUM($B$12:H$12)</f>
        <v>0.79313397452248413</v>
      </c>
      <c r="I16" s="4">
        <f>SUM($B$13:I$13)/SUM($B$12:I$12)</f>
        <v>0.82790673248608337</v>
      </c>
      <c r="J16" s="4">
        <f>SUM($B$13:J$13)/SUM($B$12:J$12)</f>
        <v>0.82694394846479713</v>
      </c>
      <c r="K16" s="4">
        <f>SUM($B$13:K$13)/SUM($B$12:K$12)</f>
        <v>0.81357000315092953</v>
      </c>
      <c r="L16" s="4">
        <f>SUM($B$13:L$13)/SUM($B$12:L$12)</f>
        <v>0.79689872148647489</v>
      </c>
      <c r="M16" s="4">
        <f>SUM($B$13:M$13)/SUM($B$12:M$12)</f>
        <v>0.79350908518012808</v>
      </c>
      <c r="N16" s="4"/>
    </row>
    <row r="19" spans="1:29" x14ac:dyDescent="0.25">
      <c r="A19" s="6" t="s">
        <v>46</v>
      </c>
      <c r="Q19" t="s">
        <v>350</v>
      </c>
    </row>
    <row r="20" spans="1:29" x14ac:dyDescent="0.25">
      <c r="A20" s="5" t="s">
        <v>215</v>
      </c>
      <c r="B20" s="5" t="s">
        <v>29</v>
      </c>
      <c r="C20" s="5" t="s">
        <v>30</v>
      </c>
      <c r="D20" s="5" t="s">
        <v>31</v>
      </c>
      <c r="E20" s="5" t="s">
        <v>32</v>
      </c>
      <c r="F20" s="5" t="s">
        <v>33</v>
      </c>
      <c r="G20" s="5" t="s">
        <v>34</v>
      </c>
      <c r="H20" s="5" t="s">
        <v>35</v>
      </c>
      <c r="I20" s="5" t="s">
        <v>36</v>
      </c>
      <c r="J20" s="5" t="s">
        <v>37</v>
      </c>
      <c r="K20" s="5" t="s">
        <v>38</v>
      </c>
      <c r="L20" s="5" t="s">
        <v>39</v>
      </c>
      <c r="M20" s="5" t="s">
        <v>40</v>
      </c>
      <c r="N20" s="5" t="s">
        <v>95</v>
      </c>
      <c r="P20" s="5" t="s">
        <v>237</v>
      </c>
      <c r="Q20" s="5" t="s">
        <v>29</v>
      </c>
      <c r="R20" s="5" t="s">
        <v>30</v>
      </c>
      <c r="S20" s="5" t="s">
        <v>31</v>
      </c>
      <c r="T20" s="5" t="s">
        <v>32</v>
      </c>
      <c r="U20" s="5" t="s">
        <v>33</v>
      </c>
      <c r="V20" s="5" t="s">
        <v>34</v>
      </c>
      <c r="W20" s="5" t="s">
        <v>35</v>
      </c>
      <c r="X20" s="5" t="s">
        <v>36</v>
      </c>
      <c r="Y20" s="5" t="s">
        <v>37</v>
      </c>
      <c r="Z20" s="5" t="s">
        <v>38</v>
      </c>
      <c r="AA20" s="5" t="s">
        <v>39</v>
      </c>
      <c r="AB20" s="5" t="s">
        <v>40</v>
      </c>
      <c r="AC20" s="5" t="s">
        <v>95</v>
      </c>
    </row>
    <row r="21" spans="1:29" x14ac:dyDescent="0.25">
      <c r="A21" s="5" t="s">
        <v>41</v>
      </c>
      <c r="B21" s="4">
        <v>0.95</v>
      </c>
      <c r="C21" s="4">
        <v>0.95</v>
      </c>
      <c r="D21" s="4">
        <v>0.95</v>
      </c>
      <c r="E21" s="4">
        <v>0.95</v>
      </c>
      <c r="F21" s="4">
        <v>0.95</v>
      </c>
      <c r="G21" s="4">
        <v>0.95</v>
      </c>
      <c r="H21" s="4">
        <v>0.95</v>
      </c>
      <c r="I21" s="4">
        <v>0.95</v>
      </c>
      <c r="J21" s="4">
        <v>0.95</v>
      </c>
      <c r="K21" s="4">
        <v>0.95</v>
      </c>
      <c r="L21" s="4">
        <v>0.95</v>
      </c>
      <c r="M21" s="4">
        <v>0.95</v>
      </c>
      <c r="N21" s="4">
        <f>AVERAGE(B21:M21)</f>
        <v>0.94999999999999984</v>
      </c>
      <c r="P21" s="5" t="s">
        <v>232</v>
      </c>
      <c r="Q21" s="295">
        <v>0.9</v>
      </c>
      <c r="R21" s="295">
        <v>0.9</v>
      </c>
      <c r="S21" s="295">
        <v>0.9</v>
      </c>
      <c r="T21" s="295">
        <v>0.9</v>
      </c>
      <c r="U21" s="295">
        <v>0.9</v>
      </c>
      <c r="V21" s="295">
        <v>0.9</v>
      </c>
      <c r="W21" s="295">
        <v>0.9</v>
      </c>
      <c r="X21" s="295">
        <v>0.9</v>
      </c>
      <c r="Y21" s="295">
        <v>0.9</v>
      </c>
      <c r="Z21" s="295">
        <v>0.9</v>
      </c>
      <c r="AA21" s="295">
        <v>0.9</v>
      </c>
      <c r="AB21" s="295">
        <v>0.9</v>
      </c>
      <c r="AC21" s="295">
        <f>AVERAGE(Q21:AB21)</f>
        <v>0.90000000000000024</v>
      </c>
    </row>
    <row r="22" spans="1:29" x14ac:dyDescent="0.25">
      <c r="A22" s="5" t="s">
        <v>42</v>
      </c>
      <c r="B22" s="4">
        <f>Q26</f>
        <v>0.9</v>
      </c>
      <c r="C22" s="4">
        <f t="shared" ref="C22:M22" si="2">R26</f>
        <v>0.9</v>
      </c>
      <c r="D22" s="4">
        <f t="shared" si="2"/>
        <v>0.88000000000000012</v>
      </c>
      <c r="E22" s="4">
        <f t="shared" si="2"/>
        <v>0.9</v>
      </c>
      <c r="F22" s="4">
        <f t="shared" si="2"/>
        <v>0.9</v>
      </c>
      <c r="G22" s="4">
        <f t="shared" si="2"/>
        <v>0.9</v>
      </c>
      <c r="H22" s="4">
        <f t="shared" si="2"/>
        <v>0.9</v>
      </c>
      <c r="I22" s="4">
        <f t="shared" si="2"/>
        <v>0.9</v>
      </c>
      <c r="J22" s="4">
        <f t="shared" si="2"/>
        <v>0.9</v>
      </c>
      <c r="K22" s="4">
        <f t="shared" si="2"/>
        <v>0.9</v>
      </c>
      <c r="L22" s="4">
        <f t="shared" si="2"/>
        <v>0.9</v>
      </c>
      <c r="M22" s="4">
        <f t="shared" si="2"/>
        <v>0.9</v>
      </c>
      <c r="N22" s="4">
        <f>AVERAGE(B22:M22)</f>
        <v>0.89833333333333354</v>
      </c>
      <c r="P22" s="5" t="s">
        <v>234</v>
      </c>
      <c r="Q22" s="295">
        <v>0.9</v>
      </c>
      <c r="R22" s="295">
        <v>0.9</v>
      </c>
      <c r="S22" s="295">
        <v>0.9</v>
      </c>
      <c r="T22" s="295">
        <v>0.9</v>
      </c>
      <c r="U22" s="295">
        <v>0.9</v>
      </c>
      <c r="V22" s="295">
        <v>0.9</v>
      </c>
      <c r="W22" s="295">
        <v>0.9</v>
      </c>
      <c r="X22" s="295">
        <v>0.9</v>
      </c>
      <c r="Y22" s="295">
        <v>0.9</v>
      </c>
      <c r="Z22" s="295">
        <v>0.9</v>
      </c>
      <c r="AA22" s="295">
        <v>0.9</v>
      </c>
      <c r="AB22" s="295">
        <v>0.9</v>
      </c>
      <c r="AC22" s="295">
        <f t="shared" ref="AC22:AC26" si="3">AVERAGE(Q22:AB22)</f>
        <v>0.90000000000000024</v>
      </c>
    </row>
    <row r="23" spans="1:29" x14ac:dyDescent="0.25">
      <c r="A23" s="5" t="s">
        <v>96</v>
      </c>
      <c r="B23" s="4">
        <f>B22</f>
        <v>0.9</v>
      </c>
      <c r="C23" s="4">
        <f>SUM($B$22:C$22)/COUNT($B$22:C$22)</f>
        <v>0.9</v>
      </c>
      <c r="D23" s="4">
        <f>SUM($B$22:D$22)/COUNT($B$22:D$22)</f>
        <v>0.89333333333333342</v>
      </c>
      <c r="E23" s="4">
        <f>SUM($B$22:E$22)/COUNT($B$22:E$22)</f>
        <v>0.89500000000000002</v>
      </c>
      <c r="F23" s="4">
        <f>SUM($B$22:F$22)/COUNT($B$22:F$22)</f>
        <v>0.89600000000000013</v>
      </c>
      <c r="G23" s="4">
        <f>SUM($B$22:G$22)/COUNT($B$22:G$22)</f>
        <v>0.89666666666666683</v>
      </c>
      <c r="H23" s="4">
        <f>SUM($B$22:H$22)/COUNT($B$22:H$22)</f>
        <v>0.89714285714285735</v>
      </c>
      <c r="I23" s="4">
        <f>SUM($B$22:I$22)/COUNT($B$22:I$22)</f>
        <v>0.89750000000000019</v>
      </c>
      <c r="J23" s="4">
        <f>SUM($B$22:J$22)/COUNT($B$22:J$22)</f>
        <v>0.89777777777777801</v>
      </c>
      <c r="K23" s="4">
        <f>SUM($B$22:K$22)/COUNT($B$22:K$22)</f>
        <v>0.89800000000000024</v>
      </c>
      <c r="L23" s="4">
        <f>SUM($B$22:L$22)/COUNT($B$22:L$22)</f>
        <v>0.89818181818181841</v>
      </c>
      <c r="M23" s="4">
        <f>SUM($B$22:M$22)/COUNT($B$22:M$22)</f>
        <v>0.89833333333333354</v>
      </c>
      <c r="N23" s="7"/>
      <c r="P23" s="5" t="s">
        <v>233</v>
      </c>
      <c r="Q23" s="295">
        <v>0.9</v>
      </c>
      <c r="R23" s="295">
        <v>0.9</v>
      </c>
      <c r="S23" s="295">
        <v>0.9</v>
      </c>
      <c r="T23" s="295">
        <v>0.9</v>
      </c>
      <c r="U23" s="295">
        <v>0.9</v>
      </c>
      <c r="V23" s="295">
        <v>0.9</v>
      </c>
      <c r="W23" s="295">
        <v>0.9</v>
      </c>
      <c r="X23" s="295">
        <v>0.9</v>
      </c>
      <c r="Y23" s="295">
        <v>0.9</v>
      </c>
      <c r="Z23" s="295">
        <v>0.9</v>
      </c>
      <c r="AA23" s="295">
        <v>0.9</v>
      </c>
      <c r="AB23" s="295">
        <v>0.9</v>
      </c>
      <c r="AC23" s="295">
        <f t="shared" si="3"/>
        <v>0.90000000000000024</v>
      </c>
    </row>
    <row r="24" spans="1:29" x14ac:dyDescent="0.25">
      <c r="A24" s="5" t="s">
        <v>43</v>
      </c>
      <c r="B24" s="4">
        <f>B21/B22</f>
        <v>1.0555555555555556</v>
      </c>
      <c r="C24" s="4">
        <f t="shared" ref="C24:M24" si="4">C21/C22</f>
        <v>1.0555555555555556</v>
      </c>
      <c r="D24" s="4">
        <f t="shared" si="4"/>
        <v>1.0795454545454544</v>
      </c>
      <c r="E24" s="4">
        <f t="shared" si="4"/>
        <v>1.0555555555555556</v>
      </c>
      <c r="F24" s="4">
        <f t="shared" si="4"/>
        <v>1.0555555555555556</v>
      </c>
      <c r="G24" s="4">
        <f t="shared" si="4"/>
        <v>1.0555555555555556</v>
      </c>
      <c r="H24" s="4">
        <f t="shared" si="4"/>
        <v>1.0555555555555556</v>
      </c>
      <c r="I24" s="4">
        <f t="shared" si="4"/>
        <v>1.0555555555555556</v>
      </c>
      <c r="J24" s="4">
        <f t="shared" si="4"/>
        <v>1.0555555555555556</v>
      </c>
      <c r="K24" s="4">
        <f t="shared" si="4"/>
        <v>1.0555555555555556</v>
      </c>
      <c r="L24" s="4">
        <f t="shared" si="4"/>
        <v>1.0555555555555556</v>
      </c>
      <c r="M24" s="4">
        <f t="shared" si="4"/>
        <v>1.0555555555555556</v>
      </c>
      <c r="N24" s="4">
        <f t="shared" ref="N24" si="5">((N21-N22)/N21)+1</f>
        <v>1.0543859649122804</v>
      </c>
      <c r="P24" s="5" t="s">
        <v>235</v>
      </c>
      <c r="Q24" s="295">
        <v>0.9</v>
      </c>
      <c r="R24" s="295">
        <v>0.9</v>
      </c>
      <c r="S24" s="295">
        <v>0.8</v>
      </c>
      <c r="T24" s="295">
        <v>0.9</v>
      </c>
      <c r="U24" s="295">
        <v>0.9</v>
      </c>
      <c r="V24" s="295">
        <v>0.9</v>
      </c>
      <c r="W24" s="295">
        <v>0.9</v>
      </c>
      <c r="X24" s="295">
        <v>0.9</v>
      </c>
      <c r="Y24" s="295">
        <v>0.9</v>
      </c>
      <c r="Z24" s="295">
        <v>0.9</v>
      </c>
      <c r="AA24" s="295">
        <v>0.9</v>
      </c>
      <c r="AB24" s="295">
        <v>0.9</v>
      </c>
      <c r="AC24" s="295">
        <f t="shared" si="3"/>
        <v>0.89166666666666694</v>
      </c>
    </row>
    <row r="25" spans="1:29" x14ac:dyDescent="0.25">
      <c r="P25" s="5" t="s">
        <v>236</v>
      </c>
      <c r="Q25" s="295">
        <v>0.9</v>
      </c>
      <c r="R25" s="295">
        <v>0.9</v>
      </c>
      <c r="S25" s="295">
        <v>0.9</v>
      </c>
      <c r="T25" s="295">
        <v>0.9</v>
      </c>
      <c r="U25" s="295">
        <v>0.9</v>
      </c>
      <c r="V25" s="295">
        <v>0.9</v>
      </c>
      <c r="W25" s="295">
        <v>0.9</v>
      </c>
      <c r="X25" s="295">
        <v>0.9</v>
      </c>
      <c r="Y25" s="295">
        <v>0.9</v>
      </c>
      <c r="Z25" s="295">
        <v>0.9</v>
      </c>
      <c r="AA25" s="295">
        <v>0.9</v>
      </c>
      <c r="AB25" s="295">
        <v>0.9</v>
      </c>
      <c r="AC25" s="295">
        <f t="shared" si="3"/>
        <v>0.90000000000000024</v>
      </c>
    </row>
    <row r="26" spans="1:29" x14ac:dyDescent="0.25">
      <c r="P26" s="5" t="s">
        <v>238</v>
      </c>
      <c r="Q26" s="296">
        <f>AVERAGE(Q21:Q25)</f>
        <v>0.9</v>
      </c>
      <c r="R26" s="296">
        <f t="shared" ref="R26:AB26" si="6">AVERAGE(R21:R25)</f>
        <v>0.9</v>
      </c>
      <c r="S26" s="296">
        <f t="shared" si="6"/>
        <v>0.88000000000000012</v>
      </c>
      <c r="T26" s="296">
        <f t="shared" si="6"/>
        <v>0.9</v>
      </c>
      <c r="U26" s="296">
        <f t="shared" si="6"/>
        <v>0.9</v>
      </c>
      <c r="V26" s="296">
        <f t="shared" si="6"/>
        <v>0.9</v>
      </c>
      <c r="W26" s="296">
        <f t="shared" si="6"/>
        <v>0.9</v>
      </c>
      <c r="X26" s="296">
        <f t="shared" si="6"/>
        <v>0.9</v>
      </c>
      <c r="Y26" s="296">
        <f t="shared" si="6"/>
        <v>0.9</v>
      </c>
      <c r="Z26" s="296">
        <f t="shared" si="6"/>
        <v>0.9</v>
      </c>
      <c r="AA26" s="296">
        <f t="shared" si="6"/>
        <v>0.9</v>
      </c>
      <c r="AB26" s="296">
        <f t="shared" si="6"/>
        <v>0.9</v>
      </c>
      <c r="AC26" s="296">
        <f t="shared" si="3"/>
        <v>0.89833333333333354</v>
      </c>
    </row>
    <row r="27" spans="1:29" x14ac:dyDescent="0.25">
      <c r="A27" s="6" t="s">
        <v>46</v>
      </c>
    </row>
    <row r="28" spans="1:29" x14ac:dyDescent="0.25">
      <c r="A28" s="5" t="s">
        <v>49</v>
      </c>
      <c r="B28" s="5" t="s">
        <v>29</v>
      </c>
      <c r="C28" s="5" t="s">
        <v>30</v>
      </c>
      <c r="D28" s="5" t="s">
        <v>31</v>
      </c>
      <c r="E28" s="5" t="s">
        <v>32</v>
      </c>
      <c r="F28" s="5" t="s">
        <v>33</v>
      </c>
      <c r="G28" s="5" t="s">
        <v>34</v>
      </c>
      <c r="H28" s="5" t="s">
        <v>35</v>
      </c>
      <c r="I28" s="5" t="s">
        <v>36</v>
      </c>
      <c r="J28" s="5" t="s">
        <v>37</v>
      </c>
      <c r="K28" s="5" t="s">
        <v>38</v>
      </c>
      <c r="L28" s="5" t="s">
        <v>39</v>
      </c>
      <c r="M28" s="5" t="s">
        <v>40</v>
      </c>
      <c r="N28" s="5" t="s">
        <v>95</v>
      </c>
    </row>
    <row r="29" spans="1:29" x14ac:dyDescent="0.25">
      <c r="A29" s="5" t="s">
        <v>41</v>
      </c>
      <c r="B29" s="9">
        <v>1.2E-2</v>
      </c>
      <c r="C29" s="9">
        <v>1.2E-2</v>
      </c>
      <c r="D29" s="9">
        <v>1.2E-2</v>
      </c>
      <c r="E29" s="9">
        <v>1.2E-2</v>
      </c>
      <c r="F29" s="9">
        <v>1.2E-2</v>
      </c>
      <c r="G29" s="9">
        <v>1.2E-2</v>
      </c>
      <c r="H29" s="9">
        <v>1.2E-2</v>
      </c>
      <c r="I29" s="9">
        <v>1.2E-2</v>
      </c>
      <c r="J29" s="9">
        <v>1.2E-2</v>
      </c>
      <c r="K29" s="9">
        <v>1.2E-2</v>
      </c>
      <c r="L29" s="9">
        <v>1.2E-2</v>
      </c>
      <c r="M29" s="9">
        <v>1.2E-2</v>
      </c>
      <c r="N29" s="9">
        <f>AVERAGE(B29:M29)</f>
        <v>1.1999999999999999E-2</v>
      </c>
    </row>
    <row r="30" spans="1:29" x14ac:dyDescent="0.25">
      <c r="A30" s="5" t="s">
        <v>42</v>
      </c>
      <c r="B30" s="9">
        <v>1.2E-2</v>
      </c>
      <c r="C30" s="9">
        <v>1.2E-2</v>
      </c>
      <c r="D30" s="9">
        <v>1.2E-2</v>
      </c>
      <c r="E30" s="9">
        <v>1.2E-2</v>
      </c>
      <c r="F30" s="9">
        <v>1.2E-2</v>
      </c>
      <c r="G30" s="9">
        <v>1.2E-2</v>
      </c>
      <c r="H30" s="9">
        <v>1.2E-2</v>
      </c>
      <c r="I30" s="9">
        <v>1.2E-2</v>
      </c>
      <c r="J30" s="9">
        <v>1.2E-2</v>
      </c>
      <c r="K30" s="9">
        <v>1.2E-2</v>
      </c>
      <c r="L30" s="9">
        <v>1.2E-2</v>
      </c>
      <c r="M30" s="9">
        <v>1.2E-2</v>
      </c>
      <c r="N30" s="9">
        <f>AVERAGE(B30:M30)</f>
        <v>1.1999999999999999E-2</v>
      </c>
    </row>
    <row r="31" spans="1:29" x14ac:dyDescent="0.25">
      <c r="A31" s="5" t="s">
        <v>96</v>
      </c>
      <c r="B31" s="9">
        <f>B30</f>
        <v>1.2E-2</v>
      </c>
      <c r="C31" s="9">
        <f>SUM($B$30:M$30)/COUNT($B$30:M$30)</f>
        <v>1.1999999999999999E-2</v>
      </c>
      <c r="D31" s="9">
        <f>SUM($B$30:M$30)/COUNT($B$30:M$30)</f>
        <v>1.1999999999999999E-2</v>
      </c>
      <c r="E31" s="9">
        <f>SUM($B$30:M$30)/COUNT($B$30:M$30)</f>
        <v>1.1999999999999999E-2</v>
      </c>
      <c r="F31" s="9">
        <f>SUM($B$30:M$30)/COUNT($B$30:M$30)</f>
        <v>1.1999999999999999E-2</v>
      </c>
      <c r="G31" s="9">
        <f>SUM($B$30:M$30)/COUNT($B$30:M$30)</f>
        <v>1.1999999999999999E-2</v>
      </c>
      <c r="H31" s="9">
        <f>SUM($B$30:M$30)/COUNT($B$30:M$30)</f>
        <v>1.1999999999999999E-2</v>
      </c>
      <c r="I31" s="9">
        <f>SUM($B$30:M$30)/COUNT($B$30:M$30)</f>
        <v>1.1999999999999999E-2</v>
      </c>
      <c r="J31" s="9">
        <f>SUM($B$30:M$30)/COUNT($B$30:M$30)</f>
        <v>1.1999999999999999E-2</v>
      </c>
      <c r="K31" s="9">
        <f>SUM($B$30:M$30)/COUNT($B$30:M$30)</f>
        <v>1.1999999999999999E-2</v>
      </c>
      <c r="L31" s="9">
        <f>SUM($B$30:M$30)/COUNT($B$30:M$30)</f>
        <v>1.1999999999999999E-2</v>
      </c>
      <c r="M31" s="9">
        <f>SUM($B$30:M$30)/COUNT($B$30:M$30)</f>
        <v>1.1999999999999999E-2</v>
      </c>
      <c r="N31" s="7"/>
    </row>
    <row r="32" spans="1:29" x14ac:dyDescent="0.25">
      <c r="A32" s="5" t="s">
        <v>43</v>
      </c>
      <c r="B32" s="4">
        <f>B30/B29</f>
        <v>1</v>
      </c>
      <c r="C32" s="4">
        <f t="shared" ref="C32:N32" si="7">C30/C29</f>
        <v>1</v>
      </c>
      <c r="D32" s="4">
        <f t="shared" si="7"/>
        <v>1</v>
      </c>
      <c r="E32" s="4">
        <f t="shared" si="7"/>
        <v>1</v>
      </c>
      <c r="F32" s="4">
        <f t="shared" si="7"/>
        <v>1</v>
      </c>
      <c r="G32" s="4">
        <f t="shared" si="7"/>
        <v>1</v>
      </c>
      <c r="H32" s="4">
        <f t="shared" si="7"/>
        <v>1</v>
      </c>
      <c r="I32" s="4">
        <f t="shared" si="7"/>
        <v>1</v>
      </c>
      <c r="J32" s="4">
        <f t="shared" si="7"/>
        <v>1</v>
      </c>
      <c r="K32" s="4">
        <f t="shared" si="7"/>
        <v>1</v>
      </c>
      <c r="L32" s="4">
        <f t="shared" si="7"/>
        <v>1</v>
      </c>
      <c r="M32" s="4">
        <f t="shared" si="7"/>
        <v>1</v>
      </c>
      <c r="N32" s="4">
        <f t="shared" si="7"/>
        <v>1</v>
      </c>
    </row>
    <row r="35" spans="1:29" x14ac:dyDescent="0.25">
      <c r="A35" s="6" t="s">
        <v>52</v>
      </c>
    </row>
    <row r="36" spans="1:29" x14ac:dyDescent="0.25">
      <c r="A36" s="5" t="s">
        <v>216</v>
      </c>
      <c r="B36" s="5" t="s">
        <v>29</v>
      </c>
      <c r="C36" s="5" t="s">
        <v>30</v>
      </c>
      <c r="D36" s="5" t="s">
        <v>31</v>
      </c>
      <c r="E36" s="5" t="s">
        <v>32</v>
      </c>
      <c r="F36" s="5" t="s">
        <v>33</v>
      </c>
      <c r="G36" s="5" t="s">
        <v>34</v>
      </c>
      <c r="H36" s="5" t="s">
        <v>35</v>
      </c>
      <c r="I36" s="5" t="s">
        <v>36</v>
      </c>
      <c r="J36" s="5" t="s">
        <v>37</v>
      </c>
      <c r="K36" s="5" t="s">
        <v>38</v>
      </c>
      <c r="L36" s="5" t="s">
        <v>39</v>
      </c>
      <c r="M36" s="5" t="s">
        <v>40</v>
      </c>
      <c r="N36" s="5" t="s">
        <v>95</v>
      </c>
      <c r="P36" s="5" t="s">
        <v>237</v>
      </c>
      <c r="Q36" s="5" t="s">
        <v>29</v>
      </c>
      <c r="R36" s="5" t="s">
        <v>30</v>
      </c>
      <c r="S36" s="5" t="s">
        <v>31</v>
      </c>
      <c r="T36" s="5" t="s">
        <v>32</v>
      </c>
      <c r="U36" s="5" t="s">
        <v>33</v>
      </c>
      <c r="V36" s="5" t="s">
        <v>34</v>
      </c>
      <c r="W36" s="5" t="s">
        <v>35</v>
      </c>
      <c r="X36" s="5" t="s">
        <v>36</v>
      </c>
      <c r="Y36" s="5" t="s">
        <v>37</v>
      </c>
      <c r="Z36" s="5" t="s">
        <v>38</v>
      </c>
      <c r="AA36" s="5" t="s">
        <v>39</v>
      </c>
      <c r="AB36" s="5" t="s">
        <v>40</v>
      </c>
      <c r="AC36" s="5" t="s">
        <v>95</v>
      </c>
    </row>
    <row r="37" spans="1:29" x14ac:dyDescent="0.25">
      <c r="A37" s="5" t="s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298">
        <f>SUM(B37:M37)</f>
        <v>0</v>
      </c>
      <c r="P37" s="5" t="s">
        <v>232</v>
      </c>
      <c r="Q37" s="298">
        <v>0</v>
      </c>
      <c r="R37" s="298">
        <v>0</v>
      </c>
      <c r="S37" s="298">
        <v>0</v>
      </c>
      <c r="T37" s="298">
        <v>0</v>
      </c>
      <c r="U37" s="298">
        <v>0</v>
      </c>
      <c r="V37" s="298">
        <v>0</v>
      </c>
      <c r="W37" s="298">
        <v>0</v>
      </c>
      <c r="X37" s="298">
        <v>0</v>
      </c>
      <c r="Y37" s="298">
        <v>0</v>
      </c>
      <c r="Z37" s="298">
        <v>0</v>
      </c>
      <c r="AA37" s="298">
        <v>0</v>
      </c>
      <c r="AB37" s="298">
        <v>0</v>
      </c>
      <c r="AC37" s="7">
        <f>SUM(Q37:AB37)</f>
        <v>0</v>
      </c>
    </row>
    <row r="38" spans="1:29" x14ac:dyDescent="0.25">
      <c r="A38" s="5" t="s">
        <v>42</v>
      </c>
      <c r="B38" s="3">
        <f>Q42</f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298">
        <f>SUM(B38:M38)</f>
        <v>0</v>
      </c>
      <c r="P38" s="5" t="s">
        <v>234</v>
      </c>
      <c r="Q38" s="298">
        <v>0</v>
      </c>
      <c r="R38" s="298">
        <v>0</v>
      </c>
      <c r="S38" s="298">
        <v>0</v>
      </c>
      <c r="T38" s="298">
        <v>0</v>
      </c>
      <c r="U38" s="298">
        <v>0</v>
      </c>
      <c r="V38" s="298">
        <v>0</v>
      </c>
      <c r="W38" s="298">
        <v>0</v>
      </c>
      <c r="X38" s="298">
        <v>0</v>
      </c>
      <c r="Y38" s="298">
        <v>0</v>
      </c>
      <c r="Z38" s="298">
        <v>0</v>
      </c>
      <c r="AA38" s="298">
        <v>0</v>
      </c>
      <c r="AB38" s="298">
        <v>0</v>
      </c>
      <c r="AC38" s="7">
        <f t="shared" ref="AC38:AC41" si="8">SUM(Q38:AB38)</f>
        <v>0</v>
      </c>
    </row>
    <row r="39" spans="1:29" x14ac:dyDescent="0.25">
      <c r="A39" s="5" t="s">
        <v>96</v>
      </c>
      <c r="B39" s="3">
        <f>B38</f>
        <v>0</v>
      </c>
      <c r="C39" s="3">
        <f>SUM($B$38:C$38)</f>
        <v>0</v>
      </c>
      <c r="D39" s="3">
        <f>SUM($B$38:D$38)</f>
        <v>0</v>
      </c>
      <c r="E39" s="3">
        <f>SUM($B$38:E$38)</f>
        <v>0</v>
      </c>
      <c r="F39" s="3">
        <f>SUM($B$38:F$38)</f>
        <v>0</v>
      </c>
      <c r="G39" s="3">
        <f>SUM($B$38:G$38)</f>
        <v>0</v>
      </c>
      <c r="H39" s="3">
        <f>SUM($B$38:H$38)</f>
        <v>0</v>
      </c>
      <c r="I39" s="3">
        <f>SUM($B$38:I$38)</f>
        <v>0</v>
      </c>
      <c r="J39" s="3">
        <f>SUM($B$38:J$38)</f>
        <v>0</v>
      </c>
      <c r="K39" s="3">
        <f>SUM($B$38:K$38)</f>
        <v>0</v>
      </c>
      <c r="L39" s="3">
        <f>SUM($B$38:L$38)</f>
        <v>0</v>
      </c>
      <c r="M39" s="3">
        <f>SUM($B$38:M$38)</f>
        <v>0</v>
      </c>
      <c r="N39" s="7"/>
      <c r="P39" s="5" t="s">
        <v>233</v>
      </c>
      <c r="Q39" s="298">
        <v>0</v>
      </c>
      <c r="R39" s="298">
        <v>0</v>
      </c>
      <c r="S39" s="298">
        <v>0</v>
      </c>
      <c r="T39" s="298">
        <v>0</v>
      </c>
      <c r="U39" s="298">
        <v>0</v>
      </c>
      <c r="V39" s="298">
        <v>0</v>
      </c>
      <c r="W39" s="298">
        <v>0</v>
      </c>
      <c r="X39" s="298">
        <v>0</v>
      </c>
      <c r="Y39" s="298">
        <v>0</v>
      </c>
      <c r="Z39" s="298">
        <v>0</v>
      </c>
      <c r="AA39" s="298">
        <v>0</v>
      </c>
      <c r="AB39" s="298">
        <v>0</v>
      </c>
      <c r="AC39" s="7">
        <f t="shared" si="8"/>
        <v>0</v>
      </c>
    </row>
    <row r="40" spans="1:29" x14ac:dyDescent="0.25">
      <c r="A40" s="5" t="s">
        <v>43</v>
      </c>
      <c r="B40" s="3">
        <f>B39</f>
        <v>0</v>
      </c>
      <c r="C40" s="8">
        <f t="shared" ref="C40:M40" si="9">IF(C38=0,1,C38/C37)</f>
        <v>1</v>
      </c>
      <c r="D40" s="8">
        <f t="shared" si="9"/>
        <v>1</v>
      </c>
      <c r="E40" s="8">
        <f t="shared" si="9"/>
        <v>1</v>
      </c>
      <c r="F40" s="8">
        <f t="shared" si="9"/>
        <v>1</v>
      </c>
      <c r="G40" s="8">
        <f t="shared" si="9"/>
        <v>1</v>
      </c>
      <c r="H40" s="8">
        <f t="shared" si="9"/>
        <v>1</v>
      </c>
      <c r="I40" s="8">
        <f t="shared" si="9"/>
        <v>1</v>
      </c>
      <c r="J40" s="8">
        <f t="shared" si="9"/>
        <v>1</v>
      </c>
      <c r="K40" s="8">
        <f t="shared" si="9"/>
        <v>1</v>
      </c>
      <c r="L40" s="8">
        <f t="shared" si="9"/>
        <v>1</v>
      </c>
      <c r="M40" s="8">
        <f t="shared" si="9"/>
        <v>1</v>
      </c>
      <c r="N40" s="8" t="str">
        <f t="shared" ref="N40" si="10">IF(N38=0,"100%",N38/N37)</f>
        <v>100%</v>
      </c>
      <c r="P40" s="5" t="s">
        <v>235</v>
      </c>
      <c r="Q40" s="298">
        <v>0</v>
      </c>
      <c r="R40" s="298">
        <v>0</v>
      </c>
      <c r="S40" s="298">
        <v>0</v>
      </c>
      <c r="T40" s="298">
        <v>0</v>
      </c>
      <c r="U40" s="298">
        <v>0</v>
      </c>
      <c r="V40" s="298">
        <v>0</v>
      </c>
      <c r="W40" s="298">
        <v>0</v>
      </c>
      <c r="X40" s="298">
        <v>0</v>
      </c>
      <c r="Y40" s="298">
        <v>0</v>
      </c>
      <c r="Z40" s="298">
        <v>0</v>
      </c>
      <c r="AA40" s="298">
        <v>0</v>
      </c>
      <c r="AB40" s="298">
        <v>0</v>
      </c>
      <c r="AC40" s="7">
        <f t="shared" si="8"/>
        <v>0</v>
      </c>
    </row>
    <row r="41" spans="1:29" x14ac:dyDescent="0.25">
      <c r="A41" s="5" t="s">
        <v>44</v>
      </c>
      <c r="B41" s="8">
        <f>B40</f>
        <v>0</v>
      </c>
      <c r="C41" s="4">
        <f>SUM($B$40:C$40)/COUNT($B$40:C$40)</f>
        <v>0.5</v>
      </c>
      <c r="D41" s="4">
        <f>SUM($B$40:D$40)/COUNT($B$40:D$40)</f>
        <v>0.66666666666666663</v>
      </c>
      <c r="E41" s="4">
        <f>SUM($B$40:E$40)/COUNT($B$40:E$40)</f>
        <v>0.75</v>
      </c>
      <c r="F41" s="4">
        <f>SUM($B$40:F$40)/COUNT($B$40:F$40)</f>
        <v>0.8</v>
      </c>
      <c r="G41" s="4">
        <f>SUM($B$40:G$40)/COUNT($B$40:G$40)</f>
        <v>0.83333333333333337</v>
      </c>
      <c r="H41" s="4">
        <f>SUM($B$40:H$40)/COUNT($B$40:H$40)</f>
        <v>0.8571428571428571</v>
      </c>
      <c r="I41" s="4">
        <f>SUM($B$40:I$40)/COUNT($B$40:I$40)</f>
        <v>0.875</v>
      </c>
      <c r="J41" s="4">
        <f>SUM($B$40:J$40)/COUNT($B$40:J$40)</f>
        <v>0.88888888888888884</v>
      </c>
      <c r="K41" s="4">
        <f>SUM($B$40:K$40)/COUNT($B$40:K$40)</f>
        <v>0.9</v>
      </c>
      <c r="L41" s="4">
        <f>SUM($B$40:L$40)/COUNT($B$40:L$40)</f>
        <v>0.90909090909090906</v>
      </c>
      <c r="M41" s="4">
        <f>SUM($B$40:M$40)/COUNT($B$40:M$40)</f>
        <v>0.91666666666666663</v>
      </c>
      <c r="N41" s="4"/>
      <c r="P41" s="5" t="s">
        <v>236</v>
      </c>
      <c r="Q41" s="298">
        <v>0</v>
      </c>
      <c r="R41" s="298">
        <v>0</v>
      </c>
      <c r="S41" s="298">
        <v>0</v>
      </c>
      <c r="T41" s="298">
        <v>0</v>
      </c>
      <c r="U41" s="298">
        <v>0</v>
      </c>
      <c r="V41" s="298">
        <v>0</v>
      </c>
      <c r="W41" s="298">
        <v>0</v>
      </c>
      <c r="X41" s="298">
        <v>0</v>
      </c>
      <c r="Y41" s="298">
        <v>0</v>
      </c>
      <c r="Z41" s="298">
        <v>0</v>
      </c>
      <c r="AA41" s="298">
        <v>0</v>
      </c>
      <c r="AB41" s="298">
        <v>0</v>
      </c>
      <c r="AC41" s="7">
        <f t="shared" si="8"/>
        <v>0</v>
      </c>
    </row>
    <row r="42" spans="1:29" x14ac:dyDescent="0.25">
      <c r="A42" s="303"/>
      <c r="B42" s="304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P42" s="5" t="s">
        <v>238</v>
      </c>
      <c r="Q42" s="297">
        <f>SUM(Q37:Q41)</f>
        <v>0</v>
      </c>
      <c r="R42" s="297">
        <f t="shared" ref="R42:AC42" si="11">SUM(R37:R41)</f>
        <v>0</v>
      </c>
      <c r="S42" s="297">
        <f t="shared" si="11"/>
        <v>0</v>
      </c>
      <c r="T42" s="297">
        <f t="shared" si="11"/>
        <v>0</v>
      </c>
      <c r="U42" s="297">
        <f t="shared" si="11"/>
        <v>0</v>
      </c>
      <c r="V42" s="297">
        <f t="shared" si="11"/>
        <v>0</v>
      </c>
      <c r="W42" s="297">
        <f t="shared" si="11"/>
        <v>0</v>
      </c>
      <c r="X42" s="297">
        <f t="shared" si="11"/>
        <v>0</v>
      </c>
      <c r="Y42" s="297">
        <f t="shared" si="11"/>
        <v>0</v>
      </c>
      <c r="Z42" s="297">
        <f t="shared" si="11"/>
        <v>0</v>
      </c>
      <c r="AA42" s="297">
        <f t="shared" si="11"/>
        <v>0</v>
      </c>
      <c r="AB42" s="297">
        <f t="shared" si="11"/>
        <v>0</v>
      </c>
      <c r="AC42" s="297">
        <f t="shared" si="11"/>
        <v>0</v>
      </c>
    </row>
    <row r="44" spans="1:29" x14ac:dyDescent="0.25">
      <c r="A44" s="6" t="s">
        <v>331</v>
      </c>
      <c r="B44" s="299" t="s">
        <v>304</v>
      </c>
      <c r="C44" s="299"/>
    </row>
    <row r="45" spans="1:29" s="307" customFormat="1" ht="30" x14ac:dyDescent="0.25">
      <c r="A45" s="283" t="s">
        <v>250</v>
      </c>
      <c r="B45" s="285" t="s">
        <v>29</v>
      </c>
      <c r="C45" s="285" t="s">
        <v>30</v>
      </c>
      <c r="D45" s="285" t="s">
        <v>31</v>
      </c>
      <c r="E45" s="285" t="s">
        <v>32</v>
      </c>
      <c r="F45" s="285" t="s">
        <v>33</v>
      </c>
      <c r="G45" s="285" t="s">
        <v>34</v>
      </c>
      <c r="H45" s="285" t="s">
        <v>35</v>
      </c>
      <c r="I45" s="285" t="s">
        <v>36</v>
      </c>
      <c r="J45" s="285" t="s">
        <v>37</v>
      </c>
      <c r="K45" s="285" t="s">
        <v>38</v>
      </c>
      <c r="L45" s="285" t="s">
        <v>39</v>
      </c>
      <c r="M45" s="285" t="s">
        <v>40</v>
      </c>
      <c r="N45" s="285" t="s">
        <v>95</v>
      </c>
      <c r="P45" s="284" t="s">
        <v>237</v>
      </c>
      <c r="Q45" s="284" t="s">
        <v>29</v>
      </c>
      <c r="R45" s="284" t="s">
        <v>30</v>
      </c>
      <c r="S45" s="284" t="s">
        <v>31</v>
      </c>
      <c r="T45" s="284" t="s">
        <v>32</v>
      </c>
      <c r="U45" s="284" t="s">
        <v>33</v>
      </c>
      <c r="V45" s="284" t="s">
        <v>34</v>
      </c>
      <c r="W45" s="284" t="s">
        <v>35</v>
      </c>
      <c r="X45" s="284" t="s">
        <v>36</v>
      </c>
      <c r="Y45" s="284" t="s">
        <v>37</v>
      </c>
      <c r="Z45" s="284" t="s">
        <v>38</v>
      </c>
      <c r="AA45" s="284" t="s">
        <v>39</v>
      </c>
      <c r="AB45" s="284" t="s">
        <v>40</v>
      </c>
      <c r="AC45" s="284" t="s">
        <v>95</v>
      </c>
    </row>
    <row r="46" spans="1:29" x14ac:dyDescent="0.25">
      <c r="A46" s="5" t="s">
        <v>41</v>
      </c>
      <c r="B46" s="298">
        <v>0</v>
      </c>
      <c r="C46" s="298">
        <v>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f>SUM(B46:M46)</f>
        <v>0</v>
      </c>
      <c r="P46" s="5" t="s">
        <v>232</v>
      </c>
      <c r="Q46" s="298">
        <v>0</v>
      </c>
      <c r="R46" s="298">
        <v>0</v>
      </c>
      <c r="S46" s="298">
        <v>0</v>
      </c>
      <c r="T46" s="298">
        <v>0</v>
      </c>
      <c r="U46" s="298">
        <v>0</v>
      </c>
      <c r="V46" s="298">
        <v>0</v>
      </c>
      <c r="W46" s="298">
        <v>0</v>
      </c>
      <c r="X46" s="298">
        <v>0</v>
      </c>
      <c r="Y46" s="298">
        <v>0</v>
      </c>
      <c r="Z46" s="298">
        <v>0</v>
      </c>
      <c r="AA46" s="298">
        <v>0</v>
      </c>
      <c r="AB46" s="298">
        <v>0</v>
      </c>
      <c r="AC46" s="7">
        <f>SUM(Q46:AB46)</f>
        <v>0</v>
      </c>
    </row>
    <row r="47" spans="1:29" x14ac:dyDescent="0.25">
      <c r="A47" s="5" t="s">
        <v>42</v>
      </c>
      <c r="B47" s="298">
        <f>Q51</f>
        <v>0</v>
      </c>
      <c r="C47" s="298">
        <f t="shared" ref="C47:M47" si="12">R51</f>
        <v>0</v>
      </c>
      <c r="D47" s="298">
        <f t="shared" si="12"/>
        <v>0</v>
      </c>
      <c r="E47" s="298">
        <f t="shared" si="12"/>
        <v>0</v>
      </c>
      <c r="F47" s="298">
        <f t="shared" si="12"/>
        <v>0</v>
      </c>
      <c r="G47" s="298">
        <f t="shared" si="12"/>
        <v>0</v>
      </c>
      <c r="H47" s="298">
        <f t="shared" si="12"/>
        <v>0</v>
      </c>
      <c r="I47" s="298">
        <f t="shared" si="12"/>
        <v>0</v>
      </c>
      <c r="J47" s="298">
        <f t="shared" si="12"/>
        <v>0</v>
      </c>
      <c r="K47" s="298">
        <f t="shared" si="12"/>
        <v>0</v>
      </c>
      <c r="L47" s="298">
        <f t="shared" si="12"/>
        <v>0</v>
      </c>
      <c r="M47" s="298">
        <f t="shared" si="12"/>
        <v>0</v>
      </c>
      <c r="N47" s="298">
        <f>SUM(B47:M47)</f>
        <v>0</v>
      </c>
      <c r="P47" s="5" t="s">
        <v>234</v>
      </c>
      <c r="Q47" s="298">
        <v>0</v>
      </c>
      <c r="R47" s="298">
        <v>0</v>
      </c>
      <c r="S47" s="298">
        <v>0</v>
      </c>
      <c r="T47" s="298">
        <v>0</v>
      </c>
      <c r="U47" s="298">
        <v>0</v>
      </c>
      <c r="V47" s="298">
        <v>0</v>
      </c>
      <c r="W47" s="298">
        <v>0</v>
      </c>
      <c r="X47" s="298">
        <v>0</v>
      </c>
      <c r="Y47" s="298">
        <v>0</v>
      </c>
      <c r="Z47" s="298">
        <v>0</v>
      </c>
      <c r="AA47" s="298">
        <v>0</v>
      </c>
      <c r="AB47" s="298">
        <v>0</v>
      </c>
      <c r="AC47" s="7">
        <f t="shared" ref="AC47:AC50" si="13">SUM(Q47:AB47)</f>
        <v>0</v>
      </c>
    </row>
    <row r="48" spans="1:29" x14ac:dyDescent="0.25">
      <c r="A48" s="5" t="s">
        <v>96</v>
      </c>
      <c r="B48" s="298">
        <f>B47</f>
        <v>0</v>
      </c>
      <c r="C48" s="298">
        <f>SUM($B$47:C$47)</f>
        <v>0</v>
      </c>
      <c r="D48" s="298">
        <f>SUM($B$47:D$47)</f>
        <v>0</v>
      </c>
      <c r="E48" s="298">
        <f>SUM($B$47:E$47)</f>
        <v>0</v>
      </c>
      <c r="F48" s="298">
        <f>SUM($B$47:F$47)</f>
        <v>0</v>
      </c>
      <c r="G48" s="298">
        <f>SUM($B$47:G$47)</f>
        <v>0</v>
      </c>
      <c r="H48" s="298">
        <f>SUM($B$47:H$47)</f>
        <v>0</v>
      </c>
      <c r="I48" s="298">
        <f>SUM($B$47:I$47)</f>
        <v>0</v>
      </c>
      <c r="J48" s="298">
        <f>SUM($B$47:J$47)</f>
        <v>0</v>
      </c>
      <c r="K48" s="298">
        <f>SUM($B$47:K$47)</f>
        <v>0</v>
      </c>
      <c r="L48" s="298">
        <f>SUM($B$47:L$47)</f>
        <v>0</v>
      </c>
      <c r="M48" s="298">
        <f>SUM($B$47:M$47)</f>
        <v>0</v>
      </c>
      <c r="N48" s="298"/>
      <c r="P48" s="5" t="s">
        <v>233</v>
      </c>
      <c r="Q48" s="298">
        <v>0</v>
      </c>
      <c r="R48" s="298">
        <v>0</v>
      </c>
      <c r="S48" s="298">
        <v>0</v>
      </c>
      <c r="T48" s="298">
        <v>0</v>
      </c>
      <c r="U48" s="298">
        <v>0</v>
      </c>
      <c r="V48" s="298">
        <v>0</v>
      </c>
      <c r="W48" s="298">
        <v>0</v>
      </c>
      <c r="X48" s="298">
        <v>0</v>
      </c>
      <c r="Y48" s="298">
        <v>0</v>
      </c>
      <c r="Z48" s="298">
        <v>0</v>
      </c>
      <c r="AA48" s="298">
        <v>0</v>
      </c>
      <c r="AB48" s="298">
        <v>0</v>
      </c>
      <c r="AC48" s="7">
        <f t="shared" si="13"/>
        <v>0</v>
      </c>
    </row>
    <row r="49" spans="1:29" x14ac:dyDescent="0.25">
      <c r="A49" s="5" t="s">
        <v>43</v>
      </c>
      <c r="B49" s="298">
        <f>B48</f>
        <v>0</v>
      </c>
      <c r="C49" s="8">
        <f t="shared" ref="C49:M49" si="14">IF(C47=0,1,C47/C46)</f>
        <v>1</v>
      </c>
      <c r="D49" s="8">
        <f t="shared" si="14"/>
        <v>1</v>
      </c>
      <c r="E49" s="8">
        <f t="shared" si="14"/>
        <v>1</v>
      </c>
      <c r="F49" s="8">
        <f t="shared" si="14"/>
        <v>1</v>
      </c>
      <c r="G49" s="8">
        <f t="shared" si="14"/>
        <v>1</v>
      </c>
      <c r="H49" s="8">
        <f t="shared" si="14"/>
        <v>1</v>
      </c>
      <c r="I49" s="8">
        <f t="shared" si="14"/>
        <v>1</v>
      </c>
      <c r="J49" s="8">
        <f t="shared" si="14"/>
        <v>1</v>
      </c>
      <c r="K49" s="8">
        <f t="shared" si="14"/>
        <v>1</v>
      </c>
      <c r="L49" s="8">
        <f t="shared" si="14"/>
        <v>1</v>
      </c>
      <c r="M49" s="8">
        <f t="shared" si="14"/>
        <v>1</v>
      </c>
      <c r="N49" s="8" t="str">
        <f t="shared" ref="N49" si="15">IF(N47=0,"100%",N47/N46)</f>
        <v>100%</v>
      </c>
      <c r="P49" s="5" t="s">
        <v>235</v>
      </c>
      <c r="Q49" s="298">
        <v>0</v>
      </c>
      <c r="R49" s="298">
        <v>0</v>
      </c>
      <c r="S49" s="298">
        <v>0</v>
      </c>
      <c r="T49" s="298">
        <v>0</v>
      </c>
      <c r="U49" s="298">
        <v>0</v>
      </c>
      <c r="V49" s="298">
        <v>0</v>
      </c>
      <c r="W49" s="298">
        <v>0</v>
      </c>
      <c r="X49" s="298">
        <v>0</v>
      </c>
      <c r="Y49" s="298">
        <v>0</v>
      </c>
      <c r="Z49" s="298">
        <v>0</v>
      </c>
      <c r="AA49" s="298">
        <v>0</v>
      </c>
      <c r="AB49" s="298">
        <v>0</v>
      </c>
      <c r="AC49" s="7">
        <f t="shared" si="13"/>
        <v>0</v>
      </c>
    </row>
    <row r="50" spans="1:29" x14ac:dyDescent="0.25">
      <c r="A50" s="5" t="s">
        <v>44</v>
      </c>
      <c r="B50" s="4">
        <f>B49</f>
        <v>0</v>
      </c>
      <c r="C50" s="4">
        <f>SUM($B$49:C$49)/COUNT($B$49:C$49)</f>
        <v>0.5</v>
      </c>
      <c r="D50" s="4">
        <f>SUM($B$49:D$49)/COUNT($B$49:D$49)</f>
        <v>0.66666666666666663</v>
      </c>
      <c r="E50" s="4">
        <f>SUM($B$49:E$49)/COUNT($B$49:E$49)</f>
        <v>0.75</v>
      </c>
      <c r="F50" s="4">
        <f>SUM($B$49:F$49)/COUNT($B$49:F$49)</f>
        <v>0.8</v>
      </c>
      <c r="G50" s="4">
        <f>SUM($B$49:G$49)/COUNT($B$49:G$49)</f>
        <v>0.83333333333333337</v>
      </c>
      <c r="H50" s="4">
        <f>SUM($B$49:H$49)/COUNT($B$49:H$49)</f>
        <v>0.8571428571428571</v>
      </c>
      <c r="I50" s="4">
        <f>SUM($B$49:I$49)/COUNT($B$49:I$49)</f>
        <v>0.875</v>
      </c>
      <c r="J50" s="4">
        <f>SUM($B$49:J$49)/COUNT($B$49:J$49)</f>
        <v>0.88888888888888884</v>
      </c>
      <c r="K50" s="4">
        <f>SUM($B$49:K$49)/COUNT($B$49:K$49)</f>
        <v>0.9</v>
      </c>
      <c r="L50" s="4">
        <f>SUM($B$49:L$49)/COUNT($B$49:L$49)</f>
        <v>0.90909090909090906</v>
      </c>
      <c r="M50" s="4">
        <f>SUM($B$49:M$49)/COUNT($B$49:M$49)</f>
        <v>0.91666666666666663</v>
      </c>
      <c r="N50" s="4"/>
      <c r="P50" s="5" t="s">
        <v>236</v>
      </c>
      <c r="Q50" s="298">
        <v>0</v>
      </c>
      <c r="R50" s="298">
        <v>0</v>
      </c>
      <c r="S50" s="298">
        <v>0</v>
      </c>
      <c r="T50" s="298">
        <v>0</v>
      </c>
      <c r="U50" s="298">
        <v>0</v>
      </c>
      <c r="V50" s="298">
        <v>0</v>
      </c>
      <c r="W50" s="298">
        <v>0</v>
      </c>
      <c r="X50" s="298">
        <v>0</v>
      </c>
      <c r="Y50" s="298">
        <v>0</v>
      </c>
      <c r="Z50" s="298">
        <v>0</v>
      </c>
      <c r="AA50" s="298">
        <v>0</v>
      </c>
      <c r="AB50" s="298">
        <v>0</v>
      </c>
      <c r="AC50" s="7">
        <f t="shared" si="13"/>
        <v>0</v>
      </c>
    </row>
    <row r="51" spans="1:29" x14ac:dyDescent="0.25">
      <c r="A51" s="303"/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P51" s="5" t="s">
        <v>238</v>
      </c>
      <c r="Q51" s="297">
        <f>SUM(Q46:Q50)</f>
        <v>0</v>
      </c>
      <c r="R51" s="297">
        <f t="shared" ref="R51:AC51" si="16">SUM(R46:R50)</f>
        <v>0</v>
      </c>
      <c r="S51" s="297">
        <f t="shared" si="16"/>
        <v>0</v>
      </c>
      <c r="T51" s="297">
        <f t="shared" si="16"/>
        <v>0</v>
      </c>
      <c r="U51" s="297">
        <f t="shared" si="16"/>
        <v>0</v>
      </c>
      <c r="V51" s="297">
        <f t="shared" si="16"/>
        <v>0</v>
      </c>
      <c r="W51" s="297">
        <f t="shared" si="16"/>
        <v>0</v>
      </c>
      <c r="X51" s="297">
        <f t="shared" si="16"/>
        <v>0</v>
      </c>
      <c r="Y51" s="297">
        <f t="shared" si="16"/>
        <v>0</v>
      </c>
      <c r="Z51" s="297">
        <f t="shared" si="16"/>
        <v>0</v>
      </c>
      <c r="AA51" s="297">
        <f t="shared" si="16"/>
        <v>0</v>
      </c>
      <c r="AB51" s="297">
        <f t="shared" si="16"/>
        <v>0</v>
      </c>
      <c r="AC51" s="297">
        <f t="shared" si="16"/>
        <v>0</v>
      </c>
    </row>
    <row r="52" spans="1:29" x14ac:dyDescent="0.25">
      <c r="A52" s="303"/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</row>
    <row r="53" spans="1:29" x14ac:dyDescent="0.25">
      <c r="A53" s="303"/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</row>
    <row r="55" spans="1:29" x14ac:dyDescent="0.25">
      <c r="A55" s="6" t="s">
        <v>218</v>
      </c>
      <c r="B55" s="299" t="s">
        <v>240</v>
      </c>
      <c r="C55" s="299"/>
    </row>
    <row r="56" spans="1:29" ht="60" x14ac:dyDescent="0.25">
      <c r="A56" s="283" t="s">
        <v>217</v>
      </c>
      <c r="B56" s="285" t="s">
        <v>29</v>
      </c>
      <c r="C56" s="285" t="s">
        <v>30</v>
      </c>
      <c r="D56" s="285" t="s">
        <v>31</v>
      </c>
      <c r="E56" s="285" t="s">
        <v>32</v>
      </c>
      <c r="F56" s="285" t="s">
        <v>33</v>
      </c>
      <c r="G56" s="285" t="s">
        <v>34</v>
      </c>
      <c r="H56" s="285" t="s">
        <v>35</v>
      </c>
      <c r="I56" s="285" t="s">
        <v>36</v>
      </c>
      <c r="J56" s="285" t="s">
        <v>37</v>
      </c>
      <c r="K56" s="285" t="s">
        <v>38</v>
      </c>
      <c r="L56" s="285" t="s">
        <v>39</v>
      </c>
      <c r="M56" s="285" t="s">
        <v>40</v>
      </c>
      <c r="N56" s="285" t="s">
        <v>95</v>
      </c>
    </row>
    <row r="57" spans="1:29" x14ac:dyDescent="0.25">
      <c r="A57" s="5" t="s">
        <v>41</v>
      </c>
      <c r="B57" s="298">
        <v>0</v>
      </c>
      <c r="C57" s="298">
        <v>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f>SUM(B57:M57)</f>
        <v>0</v>
      </c>
    </row>
    <row r="58" spans="1:29" x14ac:dyDescent="0.25">
      <c r="A58" s="5" t="s">
        <v>42</v>
      </c>
      <c r="B58" s="298">
        <v>0</v>
      </c>
      <c r="C58" s="298">
        <v>0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f>SUM(B58:M58)</f>
        <v>0</v>
      </c>
    </row>
    <row r="59" spans="1:29" x14ac:dyDescent="0.25">
      <c r="A59" s="5" t="s">
        <v>96</v>
      </c>
      <c r="B59" s="298">
        <f>B58</f>
        <v>0</v>
      </c>
      <c r="C59" s="298">
        <f>SUM($B$58:M$58)</f>
        <v>0</v>
      </c>
      <c r="D59" s="298">
        <f>SUM($B$58:M$58)</f>
        <v>0</v>
      </c>
      <c r="E59" s="298">
        <f>SUM($B$58:M$58)</f>
        <v>0</v>
      </c>
      <c r="F59" s="298">
        <f>SUM($B$58:M$58)</f>
        <v>0</v>
      </c>
      <c r="G59" s="298">
        <f>SUM($B$58:M$58)</f>
        <v>0</v>
      </c>
      <c r="H59" s="298">
        <f>SUM($B$58:M$58)</f>
        <v>0</v>
      </c>
      <c r="I59" s="298">
        <f>SUM($B$58:M$58)</f>
        <v>0</v>
      </c>
      <c r="J59" s="298">
        <f>SUM($B$58:M$58)</f>
        <v>0</v>
      </c>
      <c r="K59" s="298">
        <f>SUM($B$58:M$58)</f>
        <v>0</v>
      </c>
      <c r="L59" s="298">
        <f>SUM($B$58:M$58)</f>
        <v>0</v>
      </c>
      <c r="M59" s="298">
        <f>SUM($B$58:M$58)</f>
        <v>0</v>
      </c>
      <c r="N59" s="298"/>
    </row>
    <row r="60" spans="1:29" x14ac:dyDescent="0.25">
      <c r="A60" s="5" t="s">
        <v>43</v>
      </c>
      <c r="B60" s="8">
        <f>IF(B58=0,1,B58/B57)</f>
        <v>1</v>
      </c>
      <c r="C60" s="8">
        <f t="shared" ref="C60:M60" si="17">IF(C58=0,1,C58/C57)</f>
        <v>1</v>
      </c>
      <c r="D60" s="8">
        <f t="shared" si="17"/>
        <v>1</v>
      </c>
      <c r="E60" s="8">
        <f t="shared" si="17"/>
        <v>1</v>
      </c>
      <c r="F60" s="8">
        <f t="shared" si="17"/>
        <v>1</v>
      </c>
      <c r="G60" s="8">
        <f t="shared" si="17"/>
        <v>1</v>
      </c>
      <c r="H60" s="8">
        <f t="shared" si="17"/>
        <v>1</v>
      </c>
      <c r="I60" s="8">
        <f t="shared" si="17"/>
        <v>1</v>
      </c>
      <c r="J60" s="8">
        <f t="shared" si="17"/>
        <v>1</v>
      </c>
      <c r="K60" s="8">
        <f t="shared" si="17"/>
        <v>1</v>
      </c>
      <c r="L60" s="8">
        <f t="shared" si="17"/>
        <v>1</v>
      </c>
      <c r="M60" s="8">
        <f t="shared" si="17"/>
        <v>1</v>
      </c>
      <c r="N60" s="8" t="str">
        <f t="shared" ref="N60" si="18">IF(N58=0,"100%",N58/N57)</f>
        <v>100%</v>
      </c>
    </row>
    <row r="61" spans="1:29" x14ac:dyDescent="0.25">
      <c r="A61" s="5" t="s">
        <v>44</v>
      </c>
      <c r="B61" s="4">
        <f>SUM($B$60:B$60)/COUNT($B$40:B$40)</f>
        <v>1</v>
      </c>
      <c r="C61" s="4">
        <f>SUM($B$60:C$60)/COUNT($B$40:C$40)</f>
        <v>1</v>
      </c>
      <c r="D61" s="4">
        <f>SUM($B$60:D$60)/COUNT($B$40:D$40)</f>
        <v>1</v>
      </c>
      <c r="E61" s="4">
        <f>SUM($B$60:E$60)/COUNT($B$40:E$40)</f>
        <v>1</v>
      </c>
      <c r="F61" s="4">
        <f>SUM($B$60:F$60)/COUNT($B$40:F$40)</f>
        <v>1</v>
      </c>
      <c r="G61" s="4">
        <f>SUM($B$60:G$60)/COUNT($B$40:G$40)</f>
        <v>1</v>
      </c>
      <c r="H61" s="4">
        <f>SUM($B$60:H$60)/COUNT($B$40:H$40)</f>
        <v>1</v>
      </c>
      <c r="I61" s="4">
        <f>SUM($B$60:I$60)/COUNT($B$40:I$40)</f>
        <v>1</v>
      </c>
      <c r="J61" s="4">
        <f>SUM($B$60:J$60)/COUNT($B$40:J$40)</f>
        <v>1</v>
      </c>
      <c r="K61" s="4">
        <f>SUM($B$60:K$60)/COUNT($B$40:K$40)</f>
        <v>1</v>
      </c>
      <c r="L61" s="4">
        <f>SUM($B$60:L$60)/COUNT($B$40:L$40)</f>
        <v>1</v>
      </c>
      <c r="M61" s="4">
        <f>SUM($B$60:M$60)/COUNT($B$40:M$40)</f>
        <v>1</v>
      </c>
      <c r="N61" s="4"/>
    </row>
    <row r="64" spans="1:29" x14ac:dyDescent="0.25">
      <c r="A64" s="6" t="s">
        <v>52</v>
      </c>
    </row>
    <row r="65" spans="1:29" x14ac:dyDescent="0.25">
      <c r="A65" s="5" t="s">
        <v>297</v>
      </c>
      <c r="B65" s="5" t="s">
        <v>29</v>
      </c>
      <c r="C65" s="5" t="s">
        <v>30</v>
      </c>
      <c r="D65" s="5" t="s">
        <v>31</v>
      </c>
      <c r="E65" s="5" t="s">
        <v>32</v>
      </c>
      <c r="F65" s="5" t="s">
        <v>33</v>
      </c>
      <c r="G65" s="5" t="s">
        <v>34</v>
      </c>
      <c r="H65" s="5" t="s">
        <v>35</v>
      </c>
      <c r="I65" s="5" t="s">
        <v>36</v>
      </c>
      <c r="J65" s="5" t="s">
        <v>37</v>
      </c>
      <c r="K65" s="5" t="s">
        <v>38</v>
      </c>
      <c r="L65" s="5" t="s">
        <v>39</v>
      </c>
      <c r="M65" s="5" t="s">
        <v>40</v>
      </c>
      <c r="N65" s="5" t="s">
        <v>95</v>
      </c>
      <c r="P65" s="285" t="s">
        <v>237</v>
      </c>
      <c r="Q65" s="285" t="s">
        <v>29</v>
      </c>
      <c r="R65" s="285" t="s">
        <v>30</v>
      </c>
      <c r="S65" s="285" t="s">
        <v>31</v>
      </c>
      <c r="T65" s="285" t="s">
        <v>32</v>
      </c>
      <c r="U65" s="285" t="s">
        <v>33</v>
      </c>
      <c r="V65" s="285" t="s">
        <v>34</v>
      </c>
      <c r="W65" s="285" t="s">
        <v>35</v>
      </c>
      <c r="X65" s="285" t="s">
        <v>36</v>
      </c>
      <c r="Y65" s="285" t="s">
        <v>37</v>
      </c>
      <c r="Z65" s="285" t="s">
        <v>38</v>
      </c>
      <c r="AA65" s="285" t="s">
        <v>39</v>
      </c>
      <c r="AB65" s="285" t="s">
        <v>40</v>
      </c>
      <c r="AC65" s="285" t="s">
        <v>95</v>
      </c>
    </row>
    <row r="66" spans="1:29" x14ac:dyDescent="0.25">
      <c r="A66" s="5" t="s">
        <v>41</v>
      </c>
      <c r="B66" s="4">
        <v>0.75</v>
      </c>
      <c r="C66" s="4">
        <v>0.75</v>
      </c>
      <c r="D66" s="4">
        <v>0.75</v>
      </c>
      <c r="E66" s="4">
        <v>0.75</v>
      </c>
      <c r="F66" s="4">
        <v>0.75</v>
      </c>
      <c r="G66" s="4">
        <v>0.75</v>
      </c>
      <c r="H66" s="4">
        <v>0.75</v>
      </c>
      <c r="I66" s="4">
        <v>0.75</v>
      </c>
      <c r="J66" s="4">
        <v>0.75</v>
      </c>
      <c r="K66" s="4">
        <v>0.75</v>
      </c>
      <c r="L66" s="4">
        <v>0.75</v>
      </c>
      <c r="M66" s="4">
        <v>0.75</v>
      </c>
      <c r="N66" s="4">
        <f>AVERAGE(B66:M66)</f>
        <v>0.75</v>
      </c>
      <c r="P66" s="5" t="s">
        <v>232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f>AVERAGE(Q66:AB66)</f>
        <v>1</v>
      </c>
    </row>
    <row r="67" spans="1:29" x14ac:dyDescent="0.25">
      <c r="A67" s="5" t="s">
        <v>42</v>
      </c>
      <c r="B67" s="4">
        <f t="shared" ref="B67:M67" si="19">Q71</f>
        <v>1</v>
      </c>
      <c r="C67" s="4">
        <f t="shared" si="19"/>
        <v>1</v>
      </c>
      <c r="D67" s="4">
        <f t="shared" si="19"/>
        <v>1</v>
      </c>
      <c r="E67" s="4">
        <f t="shared" si="19"/>
        <v>1</v>
      </c>
      <c r="F67" s="4">
        <f t="shared" si="19"/>
        <v>1</v>
      </c>
      <c r="G67" s="4">
        <f t="shared" si="19"/>
        <v>1</v>
      </c>
      <c r="H67" s="4">
        <f t="shared" si="19"/>
        <v>1</v>
      </c>
      <c r="I67" s="4">
        <f t="shared" si="19"/>
        <v>1</v>
      </c>
      <c r="J67" s="4">
        <f t="shared" si="19"/>
        <v>1</v>
      </c>
      <c r="K67" s="4">
        <f t="shared" si="19"/>
        <v>1</v>
      </c>
      <c r="L67" s="4">
        <f t="shared" si="19"/>
        <v>1</v>
      </c>
      <c r="M67" s="4">
        <f t="shared" si="19"/>
        <v>1</v>
      </c>
      <c r="N67" s="4">
        <f>AVERAGE(B67:M67)</f>
        <v>1</v>
      </c>
      <c r="P67" s="5" t="s">
        <v>234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f t="shared" ref="AC67:AC70" si="20">AVERAGE(Q67:AB67)</f>
        <v>1</v>
      </c>
    </row>
    <row r="68" spans="1:29" x14ac:dyDescent="0.25">
      <c r="A68" s="5" t="s">
        <v>43</v>
      </c>
      <c r="B68" s="8">
        <f t="shared" ref="B68:N68" si="21">B67/B66</f>
        <v>1.3333333333333333</v>
      </c>
      <c r="C68" s="8">
        <f t="shared" si="21"/>
        <v>1.3333333333333333</v>
      </c>
      <c r="D68" s="8">
        <f t="shared" si="21"/>
        <v>1.3333333333333333</v>
      </c>
      <c r="E68" s="8">
        <f t="shared" si="21"/>
        <v>1.3333333333333333</v>
      </c>
      <c r="F68" s="8">
        <f t="shared" si="21"/>
        <v>1.3333333333333333</v>
      </c>
      <c r="G68" s="8">
        <f t="shared" si="21"/>
        <v>1.3333333333333333</v>
      </c>
      <c r="H68" s="8">
        <f t="shared" si="21"/>
        <v>1.3333333333333333</v>
      </c>
      <c r="I68" s="8">
        <f t="shared" si="21"/>
        <v>1.3333333333333333</v>
      </c>
      <c r="J68" s="8">
        <f t="shared" si="21"/>
        <v>1.3333333333333333</v>
      </c>
      <c r="K68" s="8">
        <f t="shared" si="21"/>
        <v>1.3333333333333333</v>
      </c>
      <c r="L68" s="8">
        <f t="shared" si="21"/>
        <v>1.3333333333333333</v>
      </c>
      <c r="M68" s="8">
        <f t="shared" si="21"/>
        <v>1.3333333333333333</v>
      </c>
      <c r="N68" s="8">
        <f t="shared" si="21"/>
        <v>1.3333333333333333</v>
      </c>
      <c r="P68" s="5" t="s">
        <v>233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f t="shared" si="20"/>
        <v>1</v>
      </c>
    </row>
    <row r="69" spans="1:29" x14ac:dyDescent="0.25">
      <c r="A69" s="5" t="s">
        <v>44</v>
      </c>
      <c r="B69" s="8">
        <f>B68</f>
        <v>1.3333333333333333</v>
      </c>
      <c r="C69" s="4">
        <f>SUM($B$68:C$68)/COUNT($B$68:C$68)</f>
        <v>1.3333333333333333</v>
      </c>
      <c r="D69" s="4">
        <f>SUM($B$68:D$68)/COUNT($B$68:D$68)</f>
        <v>1.3333333333333333</v>
      </c>
      <c r="E69" s="4">
        <f>SUM($B$68:E$68)/COUNT($B$68:E$68)</f>
        <v>1.3333333333333333</v>
      </c>
      <c r="F69" s="4">
        <f>SUM($B$68:F$68)/COUNT($B$68:F$68)</f>
        <v>1.3333333333333333</v>
      </c>
      <c r="G69" s="4">
        <f>SUM($B$68:G$68)/COUNT($B$68:G$68)</f>
        <v>1.3333333333333333</v>
      </c>
      <c r="H69" s="4">
        <f>SUM($B$68:H$68)/COUNT($B$68:H$68)</f>
        <v>1.3333333333333333</v>
      </c>
      <c r="I69" s="4">
        <f>SUM($B$68:I$68)/COUNT($B$68:I$68)</f>
        <v>1.3333333333333333</v>
      </c>
      <c r="J69" s="4">
        <f>SUM($B$68:J$68)/COUNT($B$68:J$68)</f>
        <v>1.3333333333333333</v>
      </c>
      <c r="K69" s="4">
        <f>SUM($B$68:K$68)/COUNT($B$68:K$68)</f>
        <v>1.3333333333333335</v>
      </c>
      <c r="L69" s="4">
        <f>SUM($B$68:L$68)/COUNT($B$68:L$68)</f>
        <v>1.3333333333333335</v>
      </c>
      <c r="M69" s="4">
        <f>SUM($B$68:M$68)/COUNT($B$68:M$68)</f>
        <v>1.3333333333333333</v>
      </c>
      <c r="N69" s="4"/>
      <c r="P69" s="5" t="s">
        <v>235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f t="shared" si="20"/>
        <v>1</v>
      </c>
    </row>
    <row r="70" spans="1:29" x14ac:dyDescent="0.25">
      <c r="A70" s="303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P70" s="5" t="s">
        <v>236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f t="shared" si="20"/>
        <v>1</v>
      </c>
    </row>
    <row r="71" spans="1:29" x14ac:dyDescent="0.25">
      <c r="P71" s="5" t="s">
        <v>238</v>
      </c>
      <c r="Q71" s="310">
        <f>AVERAGE(Q66:Q70)</f>
        <v>1</v>
      </c>
      <c r="R71" s="310">
        <f t="shared" ref="R71:AC71" si="22">AVERAGE(R66:R70)</f>
        <v>1</v>
      </c>
      <c r="S71" s="310">
        <f t="shared" si="22"/>
        <v>1</v>
      </c>
      <c r="T71" s="310">
        <f t="shared" si="22"/>
        <v>1</v>
      </c>
      <c r="U71" s="310">
        <f t="shared" si="22"/>
        <v>1</v>
      </c>
      <c r="V71" s="310">
        <f t="shared" si="22"/>
        <v>1</v>
      </c>
      <c r="W71" s="310">
        <f t="shared" si="22"/>
        <v>1</v>
      </c>
      <c r="X71" s="310">
        <f t="shared" si="22"/>
        <v>1</v>
      </c>
      <c r="Y71" s="310">
        <f t="shared" si="22"/>
        <v>1</v>
      </c>
      <c r="Z71" s="310">
        <f t="shared" si="22"/>
        <v>1</v>
      </c>
      <c r="AA71" s="310">
        <f t="shared" si="22"/>
        <v>1</v>
      </c>
      <c r="AB71" s="310">
        <f t="shared" si="22"/>
        <v>1</v>
      </c>
      <c r="AC71" s="310">
        <f t="shared" si="22"/>
        <v>1</v>
      </c>
    </row>
  </sheetData>
  <conditionalFormatting sqref="B6:N7">
    <cfRule type="cellIs" dxfId="269" priority="52" operator="equal">
      <formula>1</formula>
    </cfRule>
    <cfRule type="cellIs" dxfId="268" priority="53" operator="lessThan">
      <formula>1</formula>
    </cfRule>
    <cfRule type="cellIs" dxfId="267" priority="54" operator="greaterThan">
      <formula>1</formula>
    </cfRule>
  </conditionalFormatting>
  <conditionalFormatting sqref="B15:N16">
    <cfRule type="cellIs" dxfId="266" priority="49" operator="equal">
      <formula>1</formula>
    </cfRule>
    <cfRule type="cellIs" dxfId="265" priority="50" operator="lessThan">
      <formula>1</formula>
    </cfRule>
    <cfRule type="cellIs" dxfId="264" priority="51" operator="greaterThan">
      <formula>1</formula>
    </cfRule>
  </conditionalFormatting>
  <conditionalFormatting sqref="B24:N24">
    <cfRule type="cellIs" dxfId="263" priority="46" operator="equal">
      <formula>1</formula>
    </cfRule>
    <cfRule type="cellIs" dxfId="262" priority="47" operator="lessThan">
      <formula>1</formula>
    </cfRule>
    <cfRule type="cellIs" dxfId="261" priority="48" operator="greaterThan">
      <formula>1</formula>
    </cfRule>
  </conditionalFormatting>
  <conditionalFormatting sqref="B32:N32">
    <cfRule type="cellIs" dxfId="260" priority="40" operator="equal">
      <formula>1</formula>
    </cfRule>
    <cfRule type="cellIs" dxfId="259" priority="41" operator="lessThan">
      <formula>1</formula>
    </cfRule>
    <cfRule type="cellIs" dxfId="258" priority="42" operator="greaterThan">
      <formula>1</formula>
    </cfRule>
  </conditionalFormatting>
  <conditionalFormatting sqref="B60:N61">
    <cfRule type="cellIs" dxfId="257" priority="19" operator="equal">
      <formula>1</formula>
    </cfRule>
    <cfRule type="cellIs" dxfId="256" priority="20" operator="lessThan">
      <formula>1</formula>
    </cfRule>
    <cfRule type="cellIs" dxfId="255" priority="21" operator="greaterThan">
      <formula>1</formula>
    </cfRule>
  </conditionalFormatting>
  <conditionalFormatting sqref="B68:N69">
    <cfRule type="cellIs" dxfId="254" priority="10" operator="equal">
      <formula>1</formula>
    </cfRule>
    <cfRule type="cellIs" dxfId="253" priority="11" operator="lessThan">
      <formula>1</formula>
    </cfRule>
    <cfRule type="cellIs" dxfId="252" priority="12" operator="greaterThan">
      <formula>1</formula>
    </cfRule>
  </conditionalFormatting>
  <conditionalFormatting sqref="C40:N40 B41:N41">
    <cfRule type="cellIs" dxfId="251" priority="31" operator="equal">
      <formula>1</formula>
    </cfRule>
    <cfRule type="cellIs" dxfId="250" priority="32" operator="lessThan">
      <formula>1</formula>
    </cfRule>
    <cfRule type="cellIs" dxfId="249" priority="33" operator="greaterThan">
      <formula>1</formula>
    </cfRule>
  </conditionalFormatting>
  <conditionalFormatting sqref="C49:N49 B50:N50">
    <cfRule type="cellIs" dxfId="248" priority="1" operator="equal">
      <formula>1</formula>
    </cfRule>
    <cfRule type="cellIs" dxfId="247" priority="2" operator="lessThan">
      <formula>1</formula>
    </cfRule>
    <cfRule type="cellIs" dxfId="246" priority="3" operator="greaterThan">
      <formula>1</formula>
    </cfRule>
  </conditionalFormatting>
  <pageMargins left="0.7" right="0.7" top="0.75" bottom="0.75" header="0.3" footer="0.3"/>
  <ignoredErrors>
    <ignoredError sqref="C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5044-AF57-4BB0-9E40-EDD6C58D2645}">
  <sheetPr>
    <pageSetUpPr fitToPage="1"/>
  </sheetPr>
  <dimension ref="A3:U82"/>
  <sheetViews>
    <sheetView showGridLines="0" zoomScale="70" zoomScaleNormal="70" zoomScaleSheetLayoutView="85" workbookViewId="0">
      <selection activeCell="C11" sqref="C11"/>
    </sheetView>
  </sheetViews>
  <sheetFormatPr defaultColWidth="7.85546875" defaultRowHeight="15.75" x14ac:dyDescent="0.25"/>
  <cols>
    <col min="1" max="1" width="1.7109375" style="98" customWidth="1"/>
    <col min="2" max="2" width="27.7109375" style="102" customWidth="1"/>
    <col min="3" max="3" width="37" style="98" customWidth="1"/>
    <col min="4" max="4" width="42.7109375" style="98" customWidth="1"/>
    <col min="5" max="5" width="19.5703125" style="98" bestFit="1" customWidth="1"/>
    <col min="6" max="6" width="18.7109375" style="117" bestFit="1" customWidth="1"/>
    <col min="7" max="7" width="12.140625" style="117" customWidth="1"/>
    <col min="8" max="8" width="12.7109375" style="98" customWidth="1"/>
    <col min="9" max="9" width="16" style="98" customWidth="1"/>
    <col min="10" max="11" width="16.140625" style="98" customWidth="1"/>
    <col min="12" max="13" width="15.42578125" style="98" customWidth="1"/>
    <col min="14" max="14" width="2.7109375" style="98" customWidth="1"/>
    <col min="15" max="15" width="8.7109375" style="98" bestFit="1" customWidth="1"/>
    <col min="16" max="16" width="10.85546875" style="98" bestFit="1" customWidth="1"/>
    <col min="17" max="17" width="7.85546875" style="99" bestFit="1" customWidth="1"/>
    <col min="18" max="18" width="18.140625" style="100" bestFit="1" customWidth="1"/>
    <col min="19" max="19" width="18.28515625" style="99" customWidth="1"/>
    <col min="20" max="16384" width="7.85546875" style="98"/>
  </cols>
  <sheetData>
    <row r="3" spans="2:21" ht="28.5" x14ac:dyDescent="0.45">
      <c r="B3" s="526" t="s">
        <v>120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2:21" ht="28.5" x14ac:dyDescent="0.45">
      <c r="B4" s="526" t="s">
        <v>121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</row>
    <row r="5" spans="2:21" x14ac:dyDescent="0.25">
      <c r="B5" s="101"/>
      <c r="C5" s="101"/>
      <c r="D5" s="101"/>
      <c r="E5" s="101"/>
      <c r="F5" s="101"/>
      <c r="G5" s="101"/>
      <c r="H5" s="101"/>
      <c r="I5" s="101"/>
      <c r="J5" s="423" t="s">
        <v>122</v>
      </c>
      <c r="K5" s="423"/>
      <c r="L5" s="423"/>
      <c r="M5" s="423"/>
    </row>
    <row r="6" spans="2:21" ht="33.6" customHeight="1" x14ac:dyDescent="0.25">
      <c r="B6" s="522" t="s">
        <v>102</v>
      </c>
      <c r="C6" s="524" t="s">
        <v>308</v>
      </c>
      <c r="D6" s="424" t="s">
        <v>214</v>
      </c>
      <c r="E6" s="424" t="s">
        <v>204</v>
      </c>
      <c r="F6" s="424"/>
      <c r="G6" s="424"/>
      <c r="H6" s="424"/>
      <c r="I6" s="527" t="s">
        <v>127</v>
      </c>
      <c r="J6" s="425" t="s">
        <v>206</v>
      </c>
      <c r="K6" s="425"/>
      <c r="L6" s="105">
        <v>1.25</v>
      </c>
      <c r="M6" s="106">
        <v>1.5</v>
      </c>
      <c r="R6" s="266" t="s">
        <v>126</v>
      </c>
      <c r="S6" s="266"/>
      <c r="T6" s="266"/>
      <c r="U6" s="266"/>
    </row>
    <row r="7" spans="2:21" ht="33.6" customHeight="1" x14ac:dyDescent="0.25">
      <c r="B7" s="523"/>
      <c r="C7" s="525"/>
      <c r="D7" s="424"/>
      <c r="E7" s="424"/>
      <c r="F7" s="424"/>
      <c r="G7" s="424"/>
      <c r="H7" s="424"/>
      <c r="I7" s="528"/>
      <c r="J7" s="426" t="s">
        <v>207</v>
      </c>
      <c r="K7" s="427"/>
      <c r="L7" s="107">
        <v>1.05</v>
      </c>
      <c r="M7" s="108">
        <v>1.25</v>
      </c>
      <c r="N7" s="109"/>
      <c r="O7" s="109"/>
      <c r="P7" s="109"/>
      <c r="Q7" s="109"/>
      <c r="R7" s="266" t="s">
        <v>204</v>
      </c>
      <c r="S7" s="266"/>
      <c r="T7" s="266"/>
      <c r="U7" s="266"/>
    </row>
    <row r="8" spans="2:21" ht="33.6" customHeight="1" x14ac:dyDescent="0.25">
      <c r="B8" s="522" t="s">
        <v>128</v>
      </c>
      <c r="C8" s="524" t="s">
        <v>310</v>
      </c>
      <c r="D8" s="424" t="s">
        <v>132</v>
      </c>
      <c r="E8" s="430">
        <f>M50</f>
        <v>0.84822967671058891</v>
      </c>
      <c r="F8" s="430"/>
      <c r="G8" s="430"/>
      <c r="H8" s="430"/>
      <c r="I8" s="529">
        <f>COUNTA(F16:F50)</f>
        <v>30</v>
      </c>
      <c r="J8" s="431" t="s">
        <v>208</v>
      </c>
      <c r="K8" s="432"/>
      <c r="L8" s="111">
        <v>0.95</v>
      </c>
      <c r="M8" s="112">
        <v>1.05</v>
      </c>
      <c r="N8" s="109"/>
      <c r="O8" s="109"/>
      <c r="P8" s="109"/>
      <c r="Q8" s="109"/>
      <c r="R8" s="269" t="s">
        <v>29</v>
      </c>
    </row>
    <row r="9" spans="2:21" ht="33.6" customHeight="1" x14ac:dyDescent="0.25">
      <c r="B9" s="523"/>
      <c r="C9" s="525"/>
      <c r="D9" s="424"/>
      <c r="E9" s="430"/>
      <c r="F9" s="430"/>
      <c r="G9" s="430"/>
      <c r="H9" s="430"/>
      <c r="I9" s="529"/>
      <c r="J9" s="433" t="s">
        <v>209</v>
      </c>
      <c r="K9" s="434"/>
      <c r="L9" s="113">
        <v>0.8</v>
      </c>
      <c r="M9" s="114">
        <v>0.95</v>
      </c>
      <c r="R9" s="100" t="s">
        <v>30</v>
      </c>
    </row>
    <row r="10" spans="2:21" ht="33.6" customHeight="1" x14ac:dyDescent="0.25">
      <c r="B10" s="104" t="s">
        <v>99</v>
      </c>
      <c r="C10" s="103" t="s">
        <v>135</v>
      </c>
      <c r="D10" s="104" t="s">
        <v>136</v>
      </c>
      <c r="E10" s="530" t="str">
        <f>M60</f>
        <v>C</v>
      </c>
      <c r="F10" s="530"/>
      <c r="G10" s="530"/>
      <c r="H10" s="530"/>
      <c r="I10" s="529"/>
      <c r="J10" s="438" t="s">
        <v>210</v>
      </c>
      <c r="K10" s="439"/>
      <c r="L10" s="115">
        <v>0</v>
      </c>
      <c r="M10" s="116">
        <v>0.8</v>
      </c>
      <c r="R10" s="100" t="s">
        <v>31</v>
      </c>
      <c r="S10" s="99" t="s">
        <v>156</v>
      </c>
      <c r="T10" s="98" t="s">
        <v>157</v>
      </c>
    </row>
    <row r="11" spans="2:21" ht="33" customHeight="1" x14ac:dyDescent="0.25">
      <c r="B11" s="266"/>
      <c r="C11" s="266"/>
      <c r="D11" s="267"/>
      <c r="E11" s="268"/>
      <c r="F11" s="268"/>
      <c r="G11" s="268"/>
      <c r="H11" s="268"/>
      <c r="I11" s="270"/>
      <c r="J11" s="271"/>
      <c r="K11" s="272"/>
      <c r="L11" s="273"/>
      <c r="M11" s="274"/>
      <c r="R11" s="100" t="s">
        <v>32</v>
      </c>
      <c r="S11" s="99" t="s">
        <v>161</v>
      </c>
      <c r="T11" s="98" t="s">
        <v>213</v>
      </c>
    </row>
    <row r="12" spans="2:21" ht="21" customHeight="1" x14ac:dyDescent="0.25">
      <c r="B12" s="277" t="s">
        <v>95</v>
      </c>
      <c r="C12" s="266" t="s">
        <v>205</v>
      </c>
      <c r="D12" s="267"/>
      <c r="E12" s="268"/>
      <c r="F12" s="268"/>
      <c r="G12" s="268"/>
      <c r="H12" s="268"/>
      <c r="I12" s="270"/>
      <c r="J12" s="271"/>
      <c r="K12" s="272"/>
      <c r="L12" s="273"/>
      <c r="M12" s="274"/>
      <c r="R12" s="100" t="s">
        <v>35</v>
      </c>
      <c r="S12" s="99" t="s">
        <v>165</v>
      </c>
    </row>
    <row r="13" spans="2:21" ht="21" customHeight="1" thickBot="1" x14ac:dyDescent="0.3">
      <c r="B13" s="282"/>
      <c r="C13" s="266"/>
      <c r="D13" s="267"/>
      <c r="E13" s="268"/>
      <c r="F13" s="268"/>
      <c r="G13" s="268"/>
      <c r="H13" s="268"/>
      <c r="I13" s="270"/>
      <c r="J13" s="271"/>
      <c r="K13" s="272"/>
      <c r="L13" s="273"/>
      <c r="M13" s="274"/>
      <c r="R13" s="123" t="s">
        <v>36</v>
      </c>
      <c r="S13" s="99" t="s">
        <v>211</v>
      </c>
    </row>
    <row r="14" spans="2:21" s="99" customFormat="1" x14ac:dyDescent="0.25">
      <c r="B14" s="440" t="s">
        <v>137</v>
      </c>
      <c r="C14" s="428" t="s">
        <v>138</v>
      </c>
      <c r="D14" s="428" t="s">
        <v>139</v>
      </c>
      <c r="E14" s="428" t="s">
        <v>140</v>
      </c>
      <c r="F14" s="428" t="s">
        <v>141</v>
      </c>
      <c r="G14" s="428" t="s">
        <v>142</v>
      </c>
      <c r="H14" s="119" t="s">
        <v>143</v>
      </c>
      <c r="I14" s="118" t="s">
        <v>41</v>
      </c>
      <c r="J14" s="119" t="s">
        <v>42</v>
      </c>
      <c r="K14" s="119" t="s">
        <v>144</v>
      </c>
      <c r="L14" s="119" t="s">
        <v>145</v>
      </c>
      <c r="M14" s="119" t="s">
        <v>146</v>
      </c>
      <c r="R14" s="136" t="s">
        <v>37</v>
      </c>
      <c r="S14" s="99" t="s">
        <v>212</v>
      </c>
    </row>
    <row r="15" spans="2:21" s="99" customFormat="1" ht="16.5" thickBot="1" x14ac:dyDescent="0.3">
      <c r="B15" s="441"/>
      <c r="C15" s="429"/>
      <c r="D15" s="429"/>
      <c r="E15" s="429"/>
      <c r="F15" s="429"/>
      <c r="G15" s="429"/>
      <c r="H15" s="120" t="s">
        <v>147</v>
      </c>
      <c r="I15" s="121" t="s">
        <v>148</v>
      </c>
      <c r="J15" s="120" t="s">
        <v>149</v>
      </c>
      <c r="K15" s="120" t="s">
        <v>150</v>
      </c>
      <c r="L15" s="120" t="s">
        <v>151</v>
      </c>
      <c r="M15" s="120" t="s">
        <v>152</v>
      </c>
      <c r="P15" s="102"/>
      <c r="Q15" s="122"/>
      <c r="R15" s="136" t="s">
        <v>38</v>
      </c>
    </row>
    <row r="16" spans="2:21" ht="24.75" customHeight="1" x14ac:dyDescent="0.25">
      <c r="B16" s="443"/>
      <c r="C16" s="444" t="s">
        <v>158</v>
      </c>
      <c r="D16" s="138" t="s">
        <v>45</v>
      </c>
      <c r="E16" s="126" t="s">
        <v>254</v>
      </c>
      <c r="F16" s="127" t="s">
        <v>156</v>
      </c>
      <c r="G16" s="127" t="s">
        <v>157</v>
      </c>
      <c r="H16" s="139">
        <v>0.05</v>
      </c>
      <c r="I16" s="140">
        <f>HLOOKUP(B12,'DB Dir Prod'!B2:N3,2,0)</f>
        <v>67031</v>
      </c>
      <c r="J16" s="141">
        <f>HLOOKUP(B12,'DB Dir Prod'!B2:N4,3,0)</f>
        <v>18001.317024999989</v>
      </c>
      <c r="K16" s="142">
        <f t="shared" ref="K16" si="0">IF(F16="Maximize",J16-I16,IF(F16="Minimize",I16-J16,J16-I16))</f>
        <v>-49029.682975000011</v>
      </c>
      <c r="L16" s="131">
        <f t="shared" ref="L16" si="1">IFERROR(IF(AND(F16="Maximize",G16="Unlock"),IF(((J16-I16)/ABS(I16))+1&lt;0,0,((J16-I16)/ABS(I16))+1),IF(AND(F16="Maximize",G16="Lock"),IF(((J16-I16)/ABS(I16))+1&lt;0,0,IF(((J16-I16)/ABS(I16))+1&gt;$M$6,$M$6,((J16-I16)/ABS(I16))+1)),IF(AND(F16="Minimize",G16="Unlock"),IF(((I16-J16)/ABS(I16))+1&lt;0,0,((I16-J16)/ABS(I16))+1),IF(AND(F16="Minimize",G16="Lock"),IF(((I16-J16)/ABS(I16))+1&lt;0,0,IF(((I16-J16)/ABS(I16))+1&gt;$M$6,$M$6,((I16-J16)/ABS(I16))+1)),IF(F16="Min to Zero",IF(J16&gt;I16,0,IF(J16&lt;I16,0,100%)),IF(F16="Stabilize to Target",IF(J16-I16=0,100%,IF(ABS(J16-I16)&gt;=ABS(I16),0,ABS(IF(J16&gt;I16,1-((J16-I16)/I16),IF(J16&lt;I16,1-((I16-ABS(J16))/I16),0))))),IF(F16="Stabilize to Zero",IF(AND(J16&lt;=I16,J16&gt;=-I16),ABS(IF(J16&gt;I16,J16-I16,IF(J16&lt;I16,I16-ABS(J16),0)))/ABS(I16),0)))))))),0)</f>
        <v>0.26855211804985735</v>
      </c>
      <c r="M16" s="143">
        <f t="shared" ref="M16:M18" si="2">L16*H16</f>
        <v>1.3427605902492867E-2</v>
      </c>
      <c r="N16" s="133"/>
      <c r="O16" s="134"/>
      <c r="P16" s="135"/>
      <c r="Q16" s="100"/>
      <c r="R16" s="136" t="s">
        <v>40</v>
      </c>
      <c r="S16" s="136"/>
    </row>
    <row r="17" spans="2:19" ht="24.75" customHeight="1" x14ac:dyDescent="0.25">
      <c r="B17" s="443"/>
      <c r="C17" s="445"/>
      <c r="D17" s="125" t="s">
        <v>219</v>
      </c>
      <c r="E17" s="126" t="s">
        <v>159</v>
      </c>
      <c r="F17" s="127" t="s">
        <v>156</v>
      </c>
      <c r="G17" s="127" t="s">
        <v>157</v>
      </c>
      <c r="H17" s="128">
        <v>0.05</v>
      </c>
      <c r="I17" s="129">
        <f>HLOOKUP(B12,'DB Dir Prod'!B11:N12,2,0)</f>
        <v>19043</v>
      </c>
      <c r="J17" s="129">
        <f>HLOOKUP(B12,'DB Dir Prod'!B11:N13,3,0)</f>
        <v>12148.384477999985</v>
      </c>
      <c r="K17" s="130">
        <f>IF(F17="Maximize",J17-I17,IF(F17="Minimize",I17-J17,J17-I17))</f>
        <v>-6894.6155220000146</v>
      </c>
      <c r="L17" s="131">
        <f>IFERROR(IF(AND(F17="Maximize",G17="Unlock"),IF(((J17-I17)/ABS(I17))+1&lt;0,0,((J17-I17)/ABS(I17))+1),IF(AND(F17="Maximize",G17="Lock"),IF(((J17-I17)/ABS(I17))+1&lt;0,0,IF(((J17-I17)/ABS(I17))+1&gt;$M$6,$M$6,((J17-I17)/ABS(I17))+1)),IF(AND(F17="Minimize",G17="Unlock"),IF(((I17-J17)/ABS(I17))+1&lt;0,0,((I17-J17)/ABS(I17))+1),IF(AND(F17="Minimize",G17="Lock"),IF(((I17-J17)/ABS(I17))+1&lt;0,0,IF(((I17-J17)/ABS(I17))+1&gt;$M$6,$M$6,((I17-J17)/ABS(I17))+1)),IF(F17="Min to Zero",IF(J17&gt;I17,0,IF(J17&lt;I17,0,100%)),IF(F17="Stabilize to Target",IF(J17-I17=0,100%,IF(ABS(J17-I17)&gt;=ABS(I17),0,ABS(IF(J17&gt;I17,1-((J17-I17)/I17),IF(J17&lt;I17,1-((I17-ABS(J17))/I17),0))))),IF(F17="Stabilize to Zero",IF(AND(J17&lt;=I17,J17&gt;=-I17),ABS(IF(J17&gt;I17,J17-I17,IF(J17&lt;I17,I17-ABS(J17),0)))/ABS(I17),0)))))))),0)</f>
        <v>0.63794488673003125</v>
      </c>
      <c r="M17" s="132">
        <f t="shared" si="2"/>
        <v>3.1897244336501561E-2</v>
      </c>
      <c r="N17" s="133"/>
      <c r="O17" s="134"/>
      <c r="P17" s="135"/>
      <c r="Q17" s="100"/>
      <c r="R17" s="136" t="s">
        <v>95</v>
      </c>
      <c r="S17" s="136"/>
    </row>
    <row r="18" spans="2:19" ht="24.75" customHeight="1" x14ac:dyDescent="0.25">
      <c r="B18" s="443"/>
      <c r="C18" s="144" t="s">
        <v>160</v>
      </c>
      <c r="D18" s="138" t="s">
        <v>220</v>
      </c>
      <c r="E18" s="126" t="s">
        <v>159</v>
      </c>
      <c r="F18" s="127" t="s">
        <v>161</v>
      </c>
      <c r="G18" s="127" t="s">
        <v>157</v>
      </c>
      <c r="H18" s="139">
        <v>0.05</v>
      </c>
      <c r="I18" s="286">
        <f>HLOOKUP(B12,'DB Dir Prod'!B20:N21,2,0)</f>
        <v>0.94999999999999984</v>
      </c>
      <c r="J18" s="286">
        <f>HLOOKUP(B12,'DB Dir Prod'!B20:N22,3,0)</f>
        <v>0.94999999999999984</v>
      </c>
      <c r="K18" s="146">
        <f t="shared" ref="K18" si="3">IF(F18="Maximize",J18-I18,IF(F18="Minimize",I18-J18,J18-I18))</f>
        <v>0</v>
      </c>
      <c r="L18" s="131">
        <f t="shared" ref="L18" si="4">IFERROR(IF(AND(F18="Maximize",G18="Unlock"),IF(((J18-I18)/ABS(I18))+1&lt;0,0,((J18-I18)/ABS(I18))+1),IF(AND(F18="Maximize",G18="Lock"),IF(((J18-I18)/ABS(I18))+1&lt;0,0,IF(((J18-I18)/ABS(I18))+1&gt;$M$6,$M$6,((J18-I18)/ABS(I18))+1)),IF(AND(F18="Minimize",G18="Unlock"),IF(((I18-J18)/ABS(I18))+1&lt;0,0,((I18-J18)/ABS(I18))+1),IF(AND(F18="Minimize",G18="Lock"),IF(((I18-J18)/ABS(I18))+1&lt;0,0,IF(((I18-J18)/ABS(I18))+1&gt;$M$6,$M$6,((I18-J18)/ABS(I18))+1)),IF(F18="Min to Zero",IF(J18&gt;I18,0,IF(J18&lt;I18,0,100%)),IF(F18="Stabilize to Target",IF(J18-I18=0,100%,IF(ABS(J18-I18)&gt;=ABS(I18),0,ABS(IF(J18&gt;I18,1-((J18-I18)/I18),IF(J18&lt;I18,1-((I18-ABS(J18))/I18),0))))),IF(F18="Stabilize to Zero",IF(AND(J18&lt;=I18,J18&gt;=-I18),ABS(IF(J18&gt;I18,J18-I18,IF(J18&lt;I18,I18-ABS(J18),0)))/ABS(I18),0)))))))),0)</f>
        <v>1</v>
      </c>
      <c r="M18" s="143">
        <f t="shared" si="2"/>
        <v>0.05</v>
      </c>
      <c r="N18" s="133"/>
      <c r="O18" s="134"/>
      <c r="P18" s="135"/>
      <c r="Q18" s="100"/>
      <c r="R18" s="136"/>
      <c r="S18" s="136"/>
    </row>
    <row r="19" spans="2:19" x14ac:dyDescent="0.25">
      <c r="B19" s="443"/>
      <c r="C19" s="446" t="s">
        <v>163</v>
      </c>
      <c r="D19" s="446"/>
      <c r="E19" s="446"/>
      <c r="F19" s="446"/>
      <c r="G19" s="446"/>
      <c r="H19" s="155">
        <f>SUM(H16:H18)</f>
        <v>0.15000000000000002</v>
      </c>
      <c r="I19" s="156"/>
      <c r="J19" s="156"/>
      <c r="K19" s="156"/>
      <c r="L19" s="156"/>
      <c r="M19" s="157">
        <f>SUM(M16:M18)</f>
        <v>9.5324850238994424E-2</v>
      </c>
      <c r="P19" s="134"/>
      <c r="Q19" s="135"/>
    </row>
    <row r="20" spans="2:19" ht="24.75" customHeight="1" x14ac:dyDescent="0.25">
      <c r="B20" s="558" t="s">
        <v>243</v>
      </c>
      <c r="C20" s="561" t="s">
        <v>164</v>
      </c>
      <c r="D20" s="138" t="s">
        <v>8</v>
      </c>
      <c r="E20" s="126" t="s">
        <v>255</v>
      </c>
      <c r="F20" s="127" t="s">
        <v>165</v>
      </c>
      <c r="G20" s="127" t="s">
        <v>157</v>
      </c>
      <c r="H20" s="139">
        <v>0.05</v>
      </c>
      <c r="I20" s="161">
        <f>HLOOKUP(B12,'DB Dir Prod'!B28:N29,2,0)</f>
        <v>0</v>
      </c>
      <c r="J20" s="162">
        <f>HLOOKUP(B12,'DB Dir Prod'!B28:N30,3,0)</f>
        <v>0</v>
      </c>
      <c r="K20" s="163">
        <f t="shared" ref="K20" si="5">IF(F20="Maximize",J20-I20,IF(F20="Minimize",I20-J20,J20-I20))</f>
        <v>0</v>
      </c>
      <c r="L20" s="160">
        <f t="shared" ref="L20:L25" si="6">IFERROR(IF(AND(F20="Maximize",G20="Unlock"),IF(((J20-I20)/ABS(I20))+1&lt;0,0,((J20-I20)/ABS(I20))+1),IF(AND(F20="Maximize",G20="Lock"),IF(((J20-I20)/ABS(I20))+1&lt;0,0,IF(((J20-I20)/ABS(I20))+1&gt;$M$6,$M$6,((J20-I20)/ABS(I20))+1)),IF(AND(F20="Minimize",G20="Unlock"),IF(((I20-J20)/ABS(I20))+1&lt;0,0,((I20-J20)/ABS(I20))+1),IF(AND(F20="Minimize",G20="Lock"),IF(((I20-J20)/ABS(I20))+1&lt;0,0,IF(((I20-J20)/ABS(I20))+1&gt;$M$6,$M$6,((I20-J20)/ABS(I20))+1)),IF(F20="Min to Zero",IF(J20&gt;I20,0,IF(J20&lt;I20,0,100%)),IF(F20="Stabilize to Target",IF(J20-I20=0,100%,IF(ABS(J20-I20)&gt;=ABS(I20),0,ABS(IF(J20&gt;I20,1-((J20-I20)/I20),IF(J20&lt;I20,1-((I20-ABS(J20))/I20),0))))),IF(F20="Stabilize to Zero",IF(AND(J20&lt;=I20,J20&gt;=-I20),ABS(IF(J20&gt;I20,J20-I20,IF(J20&lt;I20,I20-ABS(J20),0)))/ABS(I20),0)))))))),0)</f>
        <v>1</v>
      </c>
      <c r="M20" s="143">
        <f t="shared" ref="M20" si="7">L20*H20</f>
        <v>0.05</v>
      </c>
    </row>
    <row r="21" spans="2:19" ht="24.75" customHeight="1" x14ac:dyDescent="0.25">
      <c r="B21" s="559"/>
      <c r="C21" s="451"/>
      <c r="D21" s="138" t="s">
        <v>12</v>
      </c>
      <c r="E21" s="126" t="s">
        <v>159</v>
      </c>
      <c r="F21" s="127" t="s">
        <v>165</v>
      </c>
      <c r="G21" s="127" t="s">
        <v>157</v>
      </c>
      <c r="H21" s="139">
        <v>0.05</v>
      </c>
      <c r="I21" s="161">
        <f>HLOOKUP(B12,'DB Dir Prod'!B37:N38,2,0)</f>
        <v>0</v>
      </c>
      <c r="J21" s="162">
        <f>HLOOKUP(B12,'DB Dir Prod'!B37:N39,3,0)</f>
        <v>0</v>
      </c>
      <c r="K21" s="163">
        <f t="shared" ref="K21" si="8">IF(F21="Maximize",J21-I21,IF(F21="Minimize",I21-J21,J21-I21))</f>
        <v>0</v>
      </c>
      <c r="L21" s="160">
        <f t="shared" si="6"/>
        <v>1</v>
      </c>
      <c r="M21" s="143">
        <f t="shared" ref="M21" si="9">L21*H21</f>
        <v>0.05</v>
      </c>
    </row>
    <row r="22" spans="2:19" ht="24.75" customHeight="1" x14ac:dyDescent="0.25">
      <c r="B22" s="559"/>
      <c r="C22" s="562"/>
      <c r="D22" s="138" t="s">
        <v>244</v>
      </c>
      <c r="E22" s="126" t="s">
        <v>256</v>
      </c>
      <c r="F22" s="127" t="s">
        <v>165</v>
      </c>
      <c r="G22" s="127" t="s">
        <v>157</v>
      </c>
      <c r="H22" s="139">
        <v>0.05</v>
      </c>
      <c r="I22" s="161">
        <f>HLOOKUP(B12,'DB Dir Prod'!B46:N47,2,0)</f>
        <v>0</v>
      </c>
      <c r="J22" s="162">
        <f>HLOOKUP(B12,'DB Dir Prod'!B46:N48,3,0)</f>
        <v>0</v>
      </c>
      <c r="K22" s="163">
        <f t="shared" ref="K22:K25" si="10">IF(F22="Maximize",J22-I22,IF(F22="Minimize",I22-J22,J22-I22))</f>
        <v>0</v>
      </c>
      <c r="L22" s="160">
        <f t="shared" si="6"/>
        <v>1</v>
      </c>
      <c r="M22" s="143">
        <f t="shared" ref="M22:M25" si="11">L22*H22</f>
        <v>0.05</v>
      </c>
    </row>
    <row r="23" spans="2:19" ht="45.75" customHeight="1" x14ac:dyDescent="0.25">
      <c r="B23" s="559"/>
      <c r="C23" s="450" t="s">
        <v>167</v>
      </c>
      <c r="D23" s="148" t="s">
        <v>245</v>
      </c>
      <c r="E23" s="126" t="s">
        <v>256</v>
      </c>
      <c r="F23" s="127" t="s">
        <v>156</v>
      </c>
      <c r="G23" s="127" t="s">
        <v>157</v>
      </c>
      <c r="H23" s="149">
        <v>0.05</v>
      </c>
      <c r="I23" s="161">
        <v>8</v>
      </c>
      <c r="J23" s="302">
        <v>8</v>
      </c>
      <c r="K23" s="165">
        <f t="shared" si="10"/>
        <v>0</v>
      </c>
      <c r="L23" s="166">
        <f t="shared" si="6"/>
        <v>1</v>
      </c>
      <c r="M23" s="154">
        <f t="shared" si="11"/>
        <v>0.05</v>
      </c>
    </row>
    <row r="24" spans="2:19" ht="45.75" customHeight="1" x14ac:dyDescent="0.25">
      <c r="B24" s="559"/>
      <c r="C24" s="451"/>
      <c r="D24" s="148" t="s">
        <v>301</v>
      </c>
      <c r="E24" s="126" t="s">
        <v>257</v>
      </c>
      <c r="F24" s="127" t="s">
        <v>161</v>
      </c>
      <c r="G24" s="127" t="s">
        <v>157</v>
      </c>
      <c r="H24" s="149">
        <v>0.05</v>
      </c>
      <c r="I24" s="300">
        <f>HLOOKUP(B12,'DB Dir Prod'!A55:N60,6,0)</f>
        <v>13.914285714285715</v>
      </c>
      <c r="J24" s="301">
        <f>HLOOKUP(B12,'DB Dir Prod'!B55:N60,6,0)</f>
        <v>13.914285714285715</v>
      </c>
      <c r="K24" s="165">
        <f t="shared" ref="K24" si="12">IF(F24="Maximize",J24-I24,IF(F24="Minimize",I24-J24,J24-I24))</f>
        <v>0</v>
      </c>
      <c r="L24" s="166">
        <f t="shared" si="6"/>
        <v>1</v>
      </c>
      <c r="M24" s="154">
        <f t="shared" ref="M24" si="13">L24*H24</f>
        <v>0.05</v>
      </c>
    </row>
    <row r="25" spans="2:19" ht="45.75" customHeight="1" x14ac:dyDescent="0.25">
      <c r="B25" s="559"/>
      <c r="C25" s="452"/>
      <c r="D25" s="148" t="s">
        <v>247</v>
      </c>
      <c r="E25" s="126" t="s">
        <v>257</v>
      </c>
      <c r="F25" s="127" t="s">
        <v>156</v>
      </c>
      <c r="G25" s="127" t="s">
        <v>157</v>
      </c>
      <c r="H25" s="149">
        <v>0.05</v>
      </c>
      <c r="I25" s="300">
        <v>5</v>
      </c>
      <c r="J25" s="302">
        <v>5</v>
      </c>
      <c r="K25" s="165">
        <f t="shared" si="10"/>
        <v>0</v>
      </c>
      <c r="L25" s="166">
        <f t="shared" si="6"/>
        <v>1</v>
      </c>
      <c r="M25" s="154">
        <f t="shared" si="11"/>
        <v>0.05</v>
      </c>
    </row>
    <row r="26" spans="2:19" x14ac:dyDescent="0.25">
      <c r="B26" s="560"/>
      <c r="C26" s="449" t="s">
        <v>241</v>
      </c>
      <c r="D26" s="449"/>
      <c r="E26" s="449"/>
      <c r="F26" s="449"/>
      <c r="G26" s="449"/>
      <c r="H26" s="167">
        <f>SUM(H22:H25)</f>
        <v>0.2</v>
      </c>
      <c r="I26" s="168"/>
      <c r="J26" s="168"/>
      <c r="K26" s="168"/>
      <c r="L26" s="168"/>
      <c r="M26" s="169">
        <f>SUM(M22:M25)</f>
        <v>0.2</v>
      </c>
    </row>
    <row r="27" spans="2:19" ht="22.5" customHeight="1" x14ac:dyDescent="0.25">
      <c r="B27" s="456" t="s">
        <v>169</v>
      </c>
      <c r="C27" s="280" t="s">
        <v>170</v>
      </c>
      <c r="D27" s="125" t="s">
        <v>11</v>
      </c>
      <c r="E27" s="126" t="s">
        <v>258</v>
      </c>
      <c r="F27" s="127" t="s">
        <v>161</v>
      </c>
      <c r="G27" s="127" t="s">
        <v>157</v>
      </c>
      <c r="H27" s="128">
        <v>0.05</v>
      </c>
      <c r="I27" s="276">
        <f>HLOOKUP(B12,'DB Dir Prod'!B66:N69,4,0)</f>
        <v>2.0000000000000005E-3</v>
      </c>
      <c r="J27" s="171">
        <f>HLOOKUP(B12,'DB Dir Prod'!B66:N70,5,0)</f>
        <v>2.0941558441558441E-3</v>
      </c>
      <c r="K27" s="159">
        <f t="shared" ref="K27:K48" si="14">IF(F27="Maximize",J27-I27,IF(F27="Minimize",I27-J27,J27-I27))</f>
        <v>-9.4155844155843597E-5</v>
      </c>
      <c r="L27" s="131">
        <f t="shared" ref="L27:L38" si="15">IFERROR(IF(AND(F27="Maximize",G27="Unlock"),IF(((J27-I27)/ABS(I27))+1&lt;0,0,((J27-I27)/ABS(I27))+1),IF(AND(F27="Maximize",G27="Lock"),IF(((J27-I27)/ABS(I27))+1&lt;0,0,IF(((J27-I27)/ABS(I27))+1&gt;$M$6,$M$6,((J27-I27)/ABS(I27))+1)),IF(AND(F27="Minimize",G27="Unlock"),IF(((I27-J27)/ABS(I27))+1&lt;0,0,((I27-J27)/ABS(I27))+1),IF(AND(F27="Minimize",G27="Lock"),IF(((I27-J27)/ABS(I27))+1&lt;0,0,IF(((I27-J27)/ABS(I27))+1&gt;$M$6,$M$6,((I27-J27)/ABS(I27))+1)),IF(F27="Min to Zero",IF(J27&gt;I27,0,IF(J27&lt;I27,0,100%)),IF(F27="Stabilize to Target",IF(J27-I27=0,100%,IF(ABS(J27-I27)&gt;=ABS(I27),0,ABS(IF(J27&gt;I27,1-((J27-I27)/I27),IF(J27&lt;I27,1-((I27-ABS(J27))/I27),0))))),IF(F27="Stabilize to Zero",IF(AND(J27&lt;=I27,J27&gt;=-I27),ABS(IF(J27&gt;I27,J27-I27,IF(J27&lt;I27,I27-ABS(J27),0)))/ABS(I27),0)))))))),0)</f>
        <v>0.95292207792207817</v>
      </c>
      <c r="M27" s="132">
        <f t="shared" ref="M27:M38" si="16">L27*H27</f>
        <v>4.7646103896103909E-2</v>
      </c>
    </row>
    <row r="28" spans="2:19" ht="22.5" customHeight="1" x14ac:dyDescent="0.25">
      <c r="B28" s="456"/>
      <c r="C28" s="444" t="s">
        <v>171</v>
      </c>
      <c r="D28" s="138" t="s">
        <v>13</v>
      </c>
      <c r="E28" s="126" t="s">
        <v>259</v>
      </c>
      <c r="F28" s="127" t="s">
        <v>156</v>
      </c>
      <c r="G28" s="127" t="s">
        <v>157</v>
      </c>
      <c r="H28" s="139">
        <v>0.05</v>
      </c>
      <c r="I28" s="172">
        <f>HLOOKUP(B12,'DB Dir Prod'!B76:N77,2,0)</f>
        <v>3000</v>
      </c>
      <c r="J28" s="172">
        <f>HLOOKUP(B12,'DB Dir Prod'!B76:N78,3,0)</f>
        <v>2675</v>
      </c>
      <c r="K28" s="163">
        <f t="shared" si="14"/>
        <v>-325</v>
      </c>
      <c r="L28" s="131">
        <f t="shared" si="15"/>
        <v>0.89166666666666661</v>
      </c>
      <c r="M28" s="143">
        <f t="shared" si="16"/>
        <v>4.4583333333333336E-2</v>
      </c>
    </row>
    <row r="29" spans="2:19" ht="22.5" customHeight="1" x14ac:dyDescent="0.25">
      <c r="B29" s="456"/>
      <c r="C29" s="448"/>
      <c r="D29" s="138" t="s">
        <v>14</v>
      </c>
      <c r="E29" s="126" t="s">
        <v>260</v>
      </c>
      <c r="F29" s="127" t="s">
        <v>156</v>
      </c>
      <c r="G29" s="127" t="s">
        <v>157</v>
      </c>
      <c r="H29" s="139">
        <v>0.05</v>
      </c>
      <c r="I29" s="159">
        <v>0.85</v>
      </c>
      <c r="J29" s="286">
        <v>0.85</v>
      </c>
      <c r="K29" s="163">
        <f t="shared" ref="K29" si="17">IF(F29="Maximize",J29-I29,IF(F29="Minimize",I29-J29,J29-I29))</f>
        <v>0</v>
      </c>
      <c r="L29" s="131">
        <f t="shared" ref="L29" si="18">IFERROR(IF(AND(F29="Maximize",G29="Unlock"),IF(((J29-I29)/ABS(I29))+1&lt;0,0,((J29-I29)/ABS(I29))+1),IF(AND(F29="Maximize",G29="Lock"),IF(((J29-I29)/ABS(I29))+1&lt;0,0,IF(((J29-I29)/ABS(I29))+1&gt;$M$6,$M$6,((J29-I29)/ABS(I29))+1)),IF(AND(F29="Minimize",G29="Unlock"),IF(((I29-J29)/ABS(I29))+1&lt;0,0,((I29-J29)/ABS(I29))+1),IF(AND(F29="Minimize",G29="Lock"),IF(((I29-J29)/ABS(I29))+1&lt;0,0,IF(((I29-J29)/ABS(I29))+1&gt;$M$6,$M$6,((I29-J29)/ABS(I29))+1)),IF(F29="Min to Zero",IF(J29&gt;I29,0,IF(J29&lt;I29,0,100%)),IF(F29="Stabilize to Target",IF(J29-I29=0,100%,IF(ABS(J29-I29)&gt;=ABS(I29),0,ABS(IF(J29&gt;I29,1-((J29-I29)/I29),IF(J29&lt;I29,1-((I29-ABS(J29))/I29),0))))),IF(F29="Stabilize to Zero",IF(AND(J29&lt;=I29,J29&gt;=-I29),ABS(IF(J29&gt;I29,J29-I29,IF(J29&lt;I29,I29-ABS(J29),0)))/ABS(I29),0)))))))),0)</f>
        <v>1</v>
      </c>
      <c r="M29" s="143">
        <f t="shared" ref="M29" si="19">L29*H29</f>
        <v>0.05</v>
      </c>
    </row>
    <row r="30" spans="2:19" ht="22.5" customHeight="1" x14ac:dyDescent="0.25">
      <c r="B30" s="456"/>
      <c r="C30" s="445"/>
      <c r="D30" s="138" t="s">
        <v>222</v>
      </c>
      <c r="E30" s="126" t="s">
        <v>159</v>
      </c>
      <c r="F30" s="127" t="s">
        <v>156</v>
      </c>
      <c r="G30" s="127" t="s">
        <v>157</v>
      </c>
      <c r="H30" s="139">
        <v>0.04</v>
      </c>
      <c r="I30" s="159">
        <v>0.98</v>
      </c>
      <c r="J30" s="286">
        <v>0.99</v>
      </c>
      <c r="K30" s="163">
        <f t="shared" si="14"/>
        <v>1.0000000000000009E-2</v>
      </c>
      <c r="L30" s="131">
        <f t="shared" si="15"/>
        <v>1.010204081632653</v>
      </c>
      <c r="M30" s="143">
        <f t="shared" si="16"/>
        <v>4.0408163265306121E-2</v>
      </c>
    </row>
    <row r="31" spans="2:19" ht="34.5" customHeight="1" x14ac:dyDescent="0.25">
      <c r="B31" s="456"/>
      <c r="C31" s="444" t="s">
        <v>268</v>
      </c>
      <c r="D31" s="138" t="s">
        <v>15</v>
      </c>
      <c r="E31" s="126" t="s">
        <v>159</v>
      </c>
      <c r="F31" s="127" t="s">
        <v>161</v>
      </c>
      <c r="G31" s="127" t="s">
        <v>157</v>
      </c>
      <c r="H31" s="139">
        <v>0.02</v>
      </c>
      <c r="I31" s="173">
        <v>1.7100000000000001E-2</v>
      </c>
      <c r="J31" s="173">
        <v>1.7100000000000001E-2</v>
      </c>
      <c r="K31" s="174">
        <f t="shared" si="14"/>
        <v>0</v>
      </c>
      <c r="L31" s="131">
        <f t="shared" si="15"/>
        <v>1</v>
      </c>
      <c r="M31" s="143">
        <f t="shared" si="16"/>
        <v>0.02</v>
      </c>
    </row>
    <row r="32" spans="2:19" ht="36.75" customHeight="1" x14ac:dyDescent="0.25">
      <c r="B32" s="456"/>
      <c r="C32" s="448"/>
      <c r="D32" s="138" t="s">
        <v>16</v>
      </c>
      <c r="E32" s="126" t="s">
        <v>159</v>
      </c>
      <c r="F32" s="127" t="s">
        <v>161</v>
      </c>
      <c r="G32" s="127" t="s">
        <v>157</v>
      </c>
      <c r="H32" s="139">
        <v>0.02</v>
      </c>
      <c r="I32" s="289">
        <v>3.0400000000000002E-3</v>
      </c>
      <c r="J32" s="289">
        <v>3.0400000000000002E-3</v>
      </c>
      <c r="K32" s="175">
        <f t="shared" si="14"/>
        <v>0</v>
      </c>
      <c r="L32" s="131">
        <f t="shared" si="15"/>
        <v>1</v>
      </c>
      <c r="M32" s="143">
        <f t="shared" si="16"/>
        <v>0.02</v>
      </c>
    </row>
    <row r="33" spans="1:19" ht="36.75" customHeight="1" x14ac:dyDescent="0.25">
      <c r="B33" s="456"/>
      <c r="C33" s="448"/>
      <c r="D33" s="138" t="s">
        <v>17</v>
      </c>
      <c r="E33" s="126" t="s">
        <v>159</v>
      </c>
      <c r="F33" s="127" t="s">
        <v>161</v>
      </c>
      <c r="G33" s="127" t="s">
        <v>157</v>
      </c>
      <c r="H33" s="139">
        <v>0.02</v>
      </c>
      <c r="I33" s="173">
        <v>5.5E-2</v>
      </c>
      <c r="J33" s="173">
        <v>5.5E-2</v>
      </c>
      <c r="K33" s="172">
        <f t="shared" si="14"/>
        <v>0</v>
      </c>
      <c r="L33" s="131">
        <f t="shared" si="15"/>
        <v>1</v>
      </c>
      <c r="M33" s="143">
        <f t="shared" si="16"/>
        <v>0.02</v>
      </c>
    </row>
    <row r="34" spans="1:19" ht="36.75" customHeight="1" x14ac:dyDescent="0.25">
      <c r="A34" s="98" t="s">
        <v>172</v>
      </c>
      <c r="B34" s="456"/>
      <c r="C34" s="448"/>
      <c r="D34" s="148" t="s">
        <v>18</v>
      </c>
      <c r="E34" s="126" t="s">
        <v>159</v>
      </c>
      <c r="F34" s="127" t="s">
        <v>161</v>
      </c>
      <c r="G34" s="127" t="s">
        <v>157</v>
      </c>
      <c r="H34" s="149">
        <v>0.02</v>
      </c>
      <c r="I34" s="290">
        <v>9.5000000000000005E-5</v>
      </c>
      <c r="J34" s="290">
        <v>9.5000000000000005E-5</v>
      </c>
      <c r="K34" s="178">
        <f t="shared" si="14"/>
        <v>0</v>
      </c>
      <c r="L34" s="131">
        <f t="shared" si="15"/>
        <v>1</v>
      </c>
      <c r="M34" s="154">
        <f t="shared" si="16"/>
        <v>0.02</v>
      </c>
    </row>
    <row r="35" spans="1:19" x14ac:dyDescent="0.25">
      <c r="A35" s="98" t="s">
        <v>172</v>
      </c>
      <c r="B35" s="456"/>
      <c r="C35" s="448"/>
      <c r="D35" s="148" t="s">
        <v>248</v>
      </c>
      <c r="E35" s="126" t="s">
        <v>159</v>
      </c>
      <c r="F35" s="127" t="s">
        <v>156</v>
      </c>
      <c r="G35" s="127" t="s">
        <v>157</v>
      </c>
      <c r="H35" s="149">
        <v>0.02</v>
      </c>
      <c r="I35" s="158">
        <v>1</v>
      </c>
      <c r="J35" s="177">
        <v>1</v>
      </c>
      <c r="K35" s="178">
        <f t="shared" ref="K35" si="20">IF(F35="Maximize",J35-I35,IF(F35="Minimize",I35-J35,J35-I35))</f>
        <v>0</v>
      </c>
      <c r="L35" s="131">
        <f t="shared" ref="L35" si="21">IFERROR(IF(AND(F35="Maximize",G35="Unlock"),IF(((J35-I35)/ABS(I35))+1&lt;0,0,((J35-I35)/ABS(I35))+1),IF(AND(F35="Maximize",G35="Lock"),IF(((J35-I35)/ABS(I35))+1&lt;0,0,IF(((J35-I35)/ABS(I35))+1&gt;$M$6,$M$6,((J35-I35)/ABS(I35))+1)),IF(AND(F35="Minimize",G35="Unlock"),IF(((I35-J35)/ABS(I35))+1&lt;0,0,((I35-J35)/ABS(I35))+1),IF(AND(F35="Minimize",G35="Lock"),IF(((I35-J35)/ABS(I35))+1&lt;0,0,IF(((I35-J35)/ABS(I35))+1&gt;$M$6,$M$6,((I35-J35)/ABS(I35))+1)),IF(F35="Min to Zero",IF(J35&gt;I35,0,IF(J35&lt;I35,0,100%)),IF(F35="Stabilize to Target",IF(J35-I35=0,100%,IF(ABS(J35-I35)&gt;=ABS(I35),0,ABS(IF(J35&gt;I35,1-((J35-I35)/I35),IF(J35&lt;I35,1-((I35-ABS(J35))/I35),0))))),IF(F35="Stabilize to Zero",IF(AND(J35&lt;=I35,J35&gt;=-I35),ABS(IF(J35&gt;I35,J35-I35,IF(J35&lt;I35,I35-ABS(J35),0)))/ABS(I35),0)))))))),0)</f>
        <v>1</v>
      </c>
      <c r="M35" s="154">
        <f t="shared" ref="M35" si="22">L35*H35</f>
        <v>0.02</v>
      </c>
    </row>
    <row r="36" spans="1:19" x14ac:dyDescent="0.25">
      <c r="A36" s="98" t="s">
        <v>172</v>
      </c>
      <c r="B36" s="456"/>
      <c r="C36" s="445"/>
      <c r="D36" s="148" t="s">
        <v>223</v>
      </c>
      <c r="E36" s="126" t="s">
        <v>159</v>
      </c>
      <c r="F36" s="127" t="s">
        <v>165</v>
      </c>
      <c r="G36" s="127" t="s">
        <v>157</v>
      </c>
      <c r="H36" s="149">
        <v>0.02</v>
      </c>
      <c r="I36" s="158">
        <v>0</v>
      </c>
      <c r="J36" s="177"/>
      <c r="K36" s="178">
        <f t="shared" si="14"/>
        <v>0</v>
      </c>
      <c r="L36" s="131">
        <f t="shared" si="15"/>
        <v>1</v>
      </c>
      <c r="M36" s="154">
        <f t="shared" si="16"/>
        <v>0.02</v>
      </c>
    </row>
    <row r="37" spans="1:19" ht="22.5" customHeight="1" x14ac:dyDescent="0.25">
      <c r="A37" s="98" t="s">
        <v>172</v>
      </c>
      <c r="B37" s="456"/>
      <c r="C37" s="450" t="s">
        <v>173</v>
      </c>
      <c r="D37" s="148" t="s">
        <v>19</v>
      </c>
      <c r="E37" s="126" t="s">
        <v>261</v>
      </c>
      <c r="F37" s="127" t="s">
        <v>211</v>
      </c>
      <c r="G37" s="127" t="s">
        <v>157</v>
      </c>
      <c r="H37" s="149">
        <v>0.05</v>
      </c>
      <c r="I37" s="158">
        <v>32</v>
      </c>
      <c r="J37" s="151"/>
      <c r="K37" s="178">
        <f t="shared" ref="K37" si="23">IF(F37="Maximize",J37-I37,IF(F37="Minimize",I37-J37,J37-I37))</f>
        <v>-32</v>
      </c>
      <c r="L37" s="153">
        <f t="shared" ref="L37" si="24">IFERROR(IF(AND(F37="Maximize",G37="Unlock"),IF(((J37-I37)/ABS(I37))+1&lt;0,0,((J37-I37)/ABS(I37))+1),IF(AND(F37="Maximize",G37="Lock"),IF(((J37-I37)/ABS(I37))+1&lt;0,0,IF(((J37-I37)/ABS(I37))+1&gt;$M$6,$M$6,((J37-I37)/ABS(I37))+1)),IF(AND(F37="Minimize",G37="Unlock"),IF(((I37-J37)/ABS(I37))+1&lt;0,0,((I37-J37)/ABS(I37))+1),IF(AND(F37="Minimize",G37="Lock"),IF(((I37-J37)/ABS(I37))+1&lt;0,0,IF(((I37-J37)/ABS(I37))+1&gt;$M$6,$M$6,((I37-J37)/ABS(I37))+1)),IF(F37="Min to Zero",IF(J37&gt;I37,0,IF(J37&lt;I37,0,100%)),IF(F37="Stabilize to Target",IF(J37-I37=0,100%,IF(ABS(J37-I37)&gt;=ABS(I37),0,ABS(IF(J37&gt;I37,1-((J37-I37)/I37),IF(J37&lt;I37,1-((I37-ABS(J37))/I37),0))))),IF(F37="Stabilize to Zero",IF(AND(J37&lt;=I37,J37&gt;=-I37),ABS(IF(J37&gt;I37,J37-I37,IF(J37&lt;I37,I37-ABS(J37),0)))/ABS(I37),0)))))))),0)</f>
        <v>0</v>
      </c>
      <c r="M37" s="154">
        <f t="shared" ref="M37" si="25">L37*H37</f>
        <v>0</v>
      </c>
    </row>
    <row r="38" spans="1:19" ht="22.5" customHeight="1" x14ac:dyDescent="0.25">
      <c r="A38" s="98" t="s">
        <v>172</v>
      </c>
      <c r="B38" s="456"/>
      <c r="C38" s="452"/>
      <c r="D38" s="148" t="s">
        <v>249</v>
      </c>
      <c r="E38" s="126" t="s">
        <v>261</v>
      </c>
      <c r="F38" s="127" t="s">
        <v>165</v>
      </c>
      <c r="G38" s="127" t="s">
        <v>157</v>
      </c>
      <c r="H38" s="149">
        <v>0.05</v>
      </c>
      <c r="I38" s="158">
        <v>0</v>
      </c>
      <c r="J38" s="151"/>
      <c r="K38" s="178">
        <f t="shared" si="14"/>
        <v>0</v>
      </c>
      <c r="L38" s="153">
        <f t="shared" si="15"/>
        <v>1</v>
      </c>
      <c r="M38" s="154">
        <f t="shared" si="16"/>
        <v>0.05</v>
      </c>
    </row>
    <row r="39" spans="1:19" x14ac:dyDescent="0.25">
      <c r="B39" s="456"/>
      <c r="C39" s="457" t="s">
        <v>168</v>
      </c>
      <c r="D39" s="457"/>
      <c r="E39" s="457"/>
      <c r="F39" s="457"/>
      <c r="G39" s="457"/>
      <c r="H39" s="179">
        <f>SUM(H27:H38)</f>
        <v>0.41000000000000003</v>
      </c>
      <c r="I39" s="180"/>
      <c r="J39" s="180"/>
      <c r="K39" s="180"/>
      <c r="L39" s="180"/>
      <c r="M39" s="181">
        <f>SUM(M27:M38)</f>
        <v>0.35263760049474335</v>
      </c>
    </row>
    <row r="40" spans="1:19" s="134" customFormat="1" ht="24.75" customHeight="1" x14ac:dyDescent="0.25">
      <c r="B40" s="453" t="s">
        <v>174</v>
      </c>
      <c r="C40" s="448" t="s">
        <v>175</v>
      </c>
      <c r="D40" s="124" t="s">
        <v>20</v>
      </c>
      <c r="E40" s="182" t="s">
        <v>159</v>
      </c>
      <c r="F40" s="127" t="s">
        <v>156</v>
      </c>
      <c r="G40" s="127" t="s">
        <v>157</v>
      </c>
      <c r="H40" s="128">
        <v>0.05</v>
      </c>
      <c r="I40" s="158">
        <v>4</v>
      </c>
      <c r="J40" s="158"/>
      <c r="K40" s="170">
        <f t="shared" ref="K40:K44" si="26">IF(F40="Maximize",J40-I40,IF(F40="Minimize",I40-J40,J40-I40))</f>
        <v>-4</v>
      </c>
      <c r="L40" s="131">
        <f t="shared" ref="L40:L48" si="27">IFERROR(IF(AND(F40="Maximize",G40="Unlock"),IF(((J40-I40)/ABS(I40))+1&lt;0,0,((J40-I40)/ABS(I40))+1),IF(AND(F40="Maximize",G40="Lock"),IF(((J40-I40)/ABS(I40))+1&lt;0,0,IF(((J40-I40)/ABS(I40))+1&gt;$M$6,$M$6,((J40-I40)/ABS(I40))+1)),IF(AND(F40="Minimize",G40="Unlock"),IF(((I40-J40)/ABS(I40))+1&lt;0,0,((I40-J40)/ABS(I40))+1),IF(AND(F40="Minimize",G40="Lock"),IF(((I40-J40)/ABS(I40))+1&lt;0,0,IF(((I40-J40)/ABS(I40))+1&gt;$M$6,$M$6,((I40-J40)/ABS(I40))+1)),IF(F40="Min to Zero",IF(J40&gt;I40,0,IF(J40&lt;I40,0,100%)),IF(F40="Stabilize to Target",IF(J40-I40=0,100%,IF(ABS(J40-I40)&gt;=ABS(I40),0,ABS(IF(J40&gt;I40,1-((J40-I40)/I40),IF(J40&lt;I40,1-((I40-ABS(J40))/I40),0))))),IF(F40="Stabilize to Zero",IF(AND(J40&lt;=I40,J40&gt;=-I40),ABS(IF(J40&gt;I40,J40-I40,IF(J40&lt;I40,I40-ABS(J40),0)))/ABS(I40),0)))))))),0)</f>
        <v>0</v>
      </c>
      <c r="M40" s="132">
        <f>L40*H40</f>
        <v>0</v>
      </c>
      <c r="Q40" s="99"/>
      <c r="R40" s="100"/>
      <c r="S40" s="99"/>
    </row>
    <row r="41" spans="1:19" s="134" customFormat="1" ht="24.75" customHeight="1" x14ac:dyDescent="0.25">
      <c r="B41" s="453"/>
      <c r="C41" s="448"/>
      <c r="D41" s="137" t="s">
        <v>21</v>
      </c>
      <c r="E41" s="126" t="s">
        <v>159</v>
      </c>
      <c r="F41" s="127" t="s">
        <v>156</v>
      </c>
      <c r="G41" s="127" t="s">
        <v>157</v>
      </c>
      <c r="H41" s="149">
        <v>0.02</v>
      </c>
      <c r="I41" s="163">
        <f>HLOOKUP(B12,'DB Dir Prod'!B85:N86,2,0)</f>
        <v>0.75</v>
      </c>
      <c r="J41" s="183">
        <f>HLOOKUP(B12,'DB Dir Prod'!B85:N87,3,0)</f>
        <v>1</v>
      </c>
      <c r="K41" s="184">
        <f t="shared" si="26"/>
        <v>0.25</v>
      </c>
      <c r="L41" s="131">
        <f t="shared" si="27"/>
        <v>1.3333333333333333</v>
      </c>
      <c r="M41" s="143">
        <f t="shared" ref="M41:M42" si="28">L41*H41</f>
        <v>2.6666666666666665E-2</v>
      </c>
      <c r="Q41" s="99"/>
      <c r="R41" s="100"/>
      <c r="S41" s="99"/>
    </row>
    <row r="42" spans="1:19" s="134" customFormat="1" ht="24.75" customHeight="1" x14ac:dyDescent="0.25">
      <c r="B42" s="453"/>
      <c r="C42" s="448"/>
      <c r="D42" s="137" t="s">
        <v>250</v>
      </c>
      <c r="E42" s="126" t="s">
        <v>159</v>
      </c>
      <c r="F42" s="127" t="s">
        <v>165</v>
      </c>
      <c r="G42" s="127" t="s">
        <v>157</v>
      </c>
      <c r="H42" s="149">
        <v>0.02</v>
      </c>
      <c r="I42" s="185">
        <f>HLOOKUP(B12,'DB Dir Prod'!B93:N94,2,0)</f>
        <v>0</v>
      </c>
      <c r="J42" s="186">
        <f>HLOOKUP(B12,'DB Dir Prod'!B93:N95,3,0)</f>
        <v>0</v>
      </c>
      <c r="K42" s="184">
        <f t="shared" si="26"/>
        <v>0</v>
      </c>
      <c r="L42" s="131">
        <f t="shared" si="27"/>
        <v>1</v>
      </c>
      <c r="M42" s="143">
        <f t="shared" si="28"/>
        <v>0.02</v>
      </c>
      <c r="Q42" s="99"/>
      <c r="R42" s="100"/>
      <c r="S42" s="99"/>
    </row>
    <row r="43" spans="1:19" s="134" customFormat="1" ht="24.75" customHeight="1" x14ac:dyDescent="0.25">
      <c r="B43" s="453"/>
      <c r="C43" s="448"/>
      <c r="D43" s="137" t="s">
        <v>225</v>
      </c>
      <c r="E43" s="126" t="s">
        <v>159</v>
      </c>
      <c r="F43" s="127" t="s">
        <v>156</v>
      </c>
      <c r="G43" s="127" t="s">
        <v>157</v>
      </c>
      <c r="H43" s="149">
        <v>0.02</v>
      </c>
      <c r="I43" s="163">
        <v>1</v>
      </c>
      <c r="J43" s="183">
        <v>1</v>
      </c>
      <c r="K43" s="184">
        <f t="shared" ref="K43" si="29">IF(F43="Maximize",J43-I43,IF(F43="Minimize",I43-J43,J43-I43))</f>
        <v>0</v>
      </c>
      <c r="L43" s="131">
        <f t="shared" ref="L43" si="30">IFERROR(IF(AND(F43="Maximize",G43="Unlock"),IF(((J43-I43)/ABS(I43))+1&lt;0,0,((J43-I43)/ABS(I43))+1),IF(AND(F43="Maximize",G43="Lock"),IF(((J43-I43)/ABS(I43))+1&lt;0,0,IF(((J43-I43)/ABS(I43))+1&gt;$M$6,$M$6,((J43-I43)/ABS(I43))+1)),IF(AND(F43="Minimize",G43="Unlock"),IF(((I43-J43)/ABS(I43))+1&lt;0,0,((I43-J43)/ABS(I43))+1),IF(AND(F43="Minimize",G43="Lock"),IF(((I43-J43)/ABS(I43))+1&lt;0,0,IF(((I43-J43)/ABS(I43))+1&gt;$M$6,$M$6,((I43-J43)/ABS(I43))+1)),IF(F43="Min to Zero",IF(J43&gt;I43,0,IF(J43&lt;I43,0,100%)),IF(F43="Stabilize to Target",IF(J43-I43=0,100%,IF(ABS(J43-I43)&gt;=ABS(I43),0,ABS(IF(J43&gt;I43,1-((J43-I43)/I43),IF(J43&lt;I43,1-((I43-ABS(J43))/I43),0))))),IF(F43="Stabilize to Zero",IF(AND(J43&lt;=I43,J43&gt;=-I43),ABS(IF(J43&gt;I43,J43-I43,IF(J43&lt;I43,I43-ABS(J43),0)))/ABS(I43),0)))))))),0)</f>
        <v>1</v>
      </c>
      <c r="M43" s="154">
        <f>L43*H43</f>
        <v>0.02</v>
      </c>
      <c r="Q43" s="99"/>
      <c r="R43" s="100"/>
      <c r="S43" s="99"/>
    </row>
    <row r="44" spans="1:19" s="134" customFormat="1" ht="24.75" customHeight="1" x14ac:dyDescent="0.25">
      <c r="B44" s="453"/>
      <c r="C44" s="445"/>
      <c r="D44" s="137" t="s">
        <v>226</v>
      </c>
      <c r="E44" s="126" t="s">
        <v>159</v>
      </c>
      <c r="F44" s="127" t="s">
        <v>156</v>
      </c>
      <c r="G44" s="127" t="s">
        <v>157</v>
      </c>
      <c r="H44" s="149">
        <v>0.02</v>
      </c>
      <c r="I44" s="163">
        <v>1</v>
      </c>
      <c r="J44" s="183">
        <v>1</v>
      </c>
      <c r="K44" s="184">
        <f t="shared" si="26"/>
        <v>0</v>
      </c>
      <c r="L44" s="131">
        <f t="shared" si="27"/>
        <v>1</v>
      </c>
      <c r="M44" s="154">
        <f>L44*H44</f>
        <v>0.02</v>
      </c>
      <c r="Q44" s="99"/>
      <c r="R44" s="100"/>
      <c r="S44" s="99"/>
    </row>
    <row r="45" spans="1:19" s="134" customFormat="1" ht="38.25" customHeight="1" x14ac:dyDescent="0.25">
      <c r="B45" s="453"/>
      <c r="C45" s="444" t="s">
        <v>176</v>
      </c>
      <c r="D45" s="148" t="s">
        <v>251</v>
      </c>
      <c r="E45" s="126" t="s">
        <v>159</v>
      </c>
      <c r="F45" s="127" t="s">
        <v>156</v>
      </c>
      <c r="G45" s="127" t="s">
        <v>157</v>
      </c>
      <c r="H45" s="149">
        <v>0.02</v>
      </c>
      <c r="I45" s="163">
        <v>1</v>
      </c>
      <c r="J45" s="183">
        <v>1</v>
      </c>
      <c r="K45" s="184">
        <f t="shared" si="14"/>
        <v>0</v>
      </c>
      <c r="L45" s="131">
        <f t="shared" si="27"/>
        <v>1</v>
      </c>
      <c r="M45" s="132">
        <f>L45*H45</f>
        <v>0.02</v>
      </c>
      <c r="Q45" s="99"/>
      <c r="R45" s="100"/>
      <c r="S45" s="99"/>
    </row>
    <row r="46" spans="1:19" s="134" customFormat="1" ht="40.5" customHeight="1" x14ac:dyDescent="0.25">
      <c r="B46" s="453"/>
      <c r="C46" s="445"/>
      <c r="D46" s="148" t="s">
        <v>252</v>
      </c>
      <c r="E46" s="126" t="s">
        <v>159</v>
      </c>
      <c r="F46" s="127" t="s">
        <v>165</v>
      </c>
      <c r="G46" s="127" t="s">
        <v>157</v>
      </c>
      <c r="H46" s="149">
        <v>0.02</v>
      </c>
      <c r="I46" s="142">
        <f>HLOOKUP(B12,'DB Dir Prod'!B102:N103,2,0)</f>
        <v>0</v>
      </c>
      <c r="J46" s="294">
        <f>HLOOKUP(B12,'DB Dir Prod'!B102:N104,3,0)</f>
        <v>0</v>
      </c>
      <c r="K46" s="184">
        <f t="shared" si="14"/>
        <v>0</v>
      </c>
      <c r="L46" s="131">
        <f t="shared" si="27"/>
        <v>1</v>
      </c>
      <c r="M46" s="143">
        <f t="shared" ref="M46:M47" si="31">L46*H46</f>
        <v>0.02</v>
      </c>
      <c r="Q46" s="99"/>
      <c r="R46" s="100"/>
      <c r="S46" s="99"/>
    </row>
    <row r="47" spans="1:19" s="134" customFormat="1" ht="46.5" customHeight="1" x14ac:dyDescent="0.25">
      <c r="B47" s="453"/>
      <c r="C47" s="444" t="s">
        <v>177</v>
      </c>
      <c r="D47" s="148" t="s">
        <v>229</v>
      </c>
      <c r="E47" s="126" t="s">
        <v>159</v>
      </c>
      <c r="F47" s="127" t="s">
        <v>156</v>
      </c>
      <c r="G47" s="127" t="s">
        <v>157</v>
      </c>
      <c r="H47" s="149">
        <v>0.02</v>
      </c>
      <c r="I47" s="163">
        <v>1</v>
      </c>
      <c r="J47" s="183">
        <v>1</v>
      </c>
      <c r="K47" s="172">
        <f t="shared" si="14"/>
        <v>0</v>
      </c>
      <c r="L47" s="131">
        <f t="shared" si="27"/>
        <v>1</v>
      </c>
      <c r="M47" s="143">
        <f t="shared" si="31"/>
        <v>0.02</v>
      </c>
      <c r="Q47" s="99"/>
      <c r="R47" s="100"/>
      <c r="S47" s="99"/>
    </row>
    <row r="48" spans="1:19" s="134" customFormat="1" ht="24.75" customHeight="1" x14ac:dyDescent="0.25">
      <c r="B48" s="453"/>
      <c r="C48" s="448"/>
      <c r="D48" s="137" t="s">
        <v>253</v>
      </c>
      <c r="E48" s="279" t="s">
        <v>260</v>
      </c>
      <c r="F48" s="127" t="s">
        <v>156</v>
      </c>
      <c r="G48" s="127" t="s">
        <v>157</v>
      </c>
      <c r="H48" s="149">
        <v>0.05</v>
      </c>
      <c r="I48" s="165">
        <f>HLOOKUP(B12,'DB Dir Prod'!B111:N114,4,0)</f>
        <v>0.7</v>
      </c>
      <c r="J48" s="183">
        <f>HLOOKUP(B12,'DB Dir Prod'!B111:N115,5,0)</f>
        <v>0.75040783034257752</v>
      </c>
      <c r="K48" s="187">
        <f t="shared" si="14"/>
        <v>5.0407830342577564E-2</v>
      </c>
      <c r="L48" s="153">
        <f t="shared" si="27"/>
        <v>1.0720111862036823</v>
      </c>
      <c r="M48" s="154">
        <f>L48*H48</f>
        <v>5.360055931018412E-2</v>
      </c>
      <c r="Q48" s="99"/>
      <c r="R48" s="100"/>
      <c r="S48" s="99"/>
    </row>
    <row r="49" spans="2:20" ht="16.5" thickBot="1" x14ac:dyDescent="0.3">
      <c r="B49" s="454"/>
      <c r="C49" s="455" t="s">
        <v>178</v>
      </c>
      <c r="D49" s="455"/>
      <c r="E49" s="455"/>
      <c r="F49" s="455"/>
      <c r="G49" s="455"/>
      <c r="H49" s="188">
        <f>SUM(H40:H48)</f>
        <v>0.24</v>
      </c>
      <c r="I49" s="189"/>
      <c r="J49" s="189"/>
      <c r="K49" s="189"/>
      <c r="L49" s="189"/>
      <c r="M49" s="190">
        <f>SUM(M40:M48)</f>
        <v>0.20026722597685079</v>
      </c>
    </row>
    <row r="50" spans="2:20" s="191" customFormat="1" ht="16.5" thickBot="1" x14ac:dyDescent="0.3">
      <c r="B50" s="192"/>
      <c r="C50" s="458" t="s">
        <v>179</v>
      </c>
      <c r="D50" s="458"/>
      <c r="E50" s="458"/>
      <c r="F50" s="458"/>
      <c r="G50" s="458"/>
      <c r="H50" s="193">
        <f>SUM(H49,H39,H19,H26)</f>
        <v>1</v>
      </c>
      <c r="I50" s="194"/>
      <c r="J50" s="459" t="s">
        <v>180</v>
      </c>
      <c r="K50" s="460"/>
      <c r="L50" s="461"/>
      <c r="M50" s="195">
        <f>SUM(M16:M18,M27:M38,M40:M48,M22:M25)</f>
        <v>0.84822967671058891</v>
      </c>
      <c r="Q50" s="196"/>
      <c r="R50" s="100"/>
      <c r="S50" s="196"/>
    </row>
    <row r="51" spans="2:20" s="197" customFormat="1" ht="16.5" thickBot="1" x14ac:dyDescent="0.3">
      <c r="B51" s="198"/>
      <c r="C51" s="198"/>
      <c r="D51" s="198"/>
      <c r="E51" s="198"/>
      <c r="F51" s="199"/>
      <c r="G51" s="199"/>
      <c r="H51" s="200"/>
      <c r="I51" s="201"/>
      <c r="J51" s="459" t="s">
        <v>181</v>
      </c>
      <c r="K51" s="460"/>
      <c r="L51" s="460"/>
      <c r="M51" s="202" t="str">
        <f>IF(AND(H50&gt;100%,H50,100%),"Error",IF(M50&gt;=$M$6,"HP",IF(AND(M50&lt;$M$7,M50&gt;=$L$7),"P",IF(AND(M50&lt;$M$8,M50&gt;=$L$8),"T",IF(AND(M50&lt;$M$9,M50&gt;=$L$9),"C",IF(M50&lt;$M$10,"U"))))))</f>
        <v>C</v>
      </c>
      <c r="Q51" s="196"/>
      <c r="R51" s="100"/>
      <c r="S51" s="196"/>
    </row>
    <row r="53" spans="2:20" ht="16.5" thickBot="1" x14ac:dyDescent="0.3"/>
    <row r="54" spans="2:20" ht="32.25" thickBot="1" x14ac:dyDescent="0.3">
      <c r="B54" s="203" t="s">
        <v>137</v>
      </c>
      <c r="C54" s="204" t="s">
        <v>138</v>
      </c>
      <c r="D54" s="204" t="s">
        <v>139</v>
      </c>
      <c r="E54" s="205"/>
      <c r="F54" s="205" t="s">
        <v>141</v>
      </c>
      <c r="G54" s="205" t="s">
        <v>142</v>
      </c>
      <c r="H54" s="206" t="s">
        <v>182</v>
      </c>
      <c r="I54" s="207" t="s">
        <v>183</v>
      </c>
      <c r="J54" s="206" t="s">
        <v>184</v>
      </c>
      <c r="K54" s="206" t="s">
        <v>144</v>
      </c>
      <c r="L54" s="206" t="s">
        <v>185</v>
      </c>
      <c r="M54" s="206" t="s">
        <v>186</v>
      </c>
      <c r="Q54" s="98"/>
      <c r="T54" s="99"/>
    </row>
    <row r="55" spans="2:20" ht="16.5" thickBot="1" x14ac:dyDescent="0.3">
      <c r="B55" s="462" t="s">
        <v>187</v>
      </c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4"/>
      <c r="Q55" s="98"/>
      <c r="T55" s="99"/>
    </row>
    <row r="56" spans="2:20" x14ac:dyDescent="0.25">
      <c r="B56" s="208"/>
      <c r="C56" s="209"/>
      <c r="D56" s="210"/>
      <c r="E56" s="210"/>
      <c r="F56" s="127" t="s">
        <v>156</v>
      </c>
      <c r="G56" s="127" t="s">
        <v>157</v>
      </c>
      <c r="H56" s="210"/>
      <c r="I56" s="211"/>
      <c r="J56" s="212"/>
      <c r="K56" s="212"/>
      <c r="L56" s="213">
        <f t="shared" ref="L56:L58" si="32">IFERROR(IF(AND(F56="Maximize",G56="Unlock"),IF(((J56-I56)/ABS(I56))+1&lt;0,0,((J56-I56)/ABS(I56))+1),IF(AND(F56="Maximize",G56="Lock"),IF(((J56-I56)/ABS(I56))+1&lt;0,0,IF(((J56-I56)/ABS(I56))+1&gt;$M$6,$M$6,((J56-I56)/ABS(I56))+1)),IF(AND(F56="Minimize",G56="Unlock"),IF(((I56-J56)/ABS(I56))+1&lt;0,0,((I56-J56)/ABS(I56))+1),IF(AND(F56="Minimize",G56="Lock"),IF(((I56-J56)/ABS(I56))+1&lt;0,0,IF(((I56-J56)/ABS(I56))+1&gt;$M$6,$M$6,((I56-J56)/ABS(I56))+1)),IF(F56="Min To Zero",IF(J56&gt;I56,0,IF(J56&lt;I56,0,100%))))))),0)</f>
        <v>0</v>
      </c>
      <c r="M56" s="214">
        <f>L56*H56</f>
        <v>0</v>
      </c>
      <c r="Q56" s="98"/>
      <c r="T56" s="99"/>
    </row>
    <row r="57" spans="2:20" x14ac:dyDescent="0.25">
      <c r="B57" s="215"/>
      <c r="C57" s="216"/>
      <c r="D57" s="217"/>
      <c r="E57" s="217"/>
      <c r="F57" s="127" t="s">
        <v>156</v>
      </c>
      <c r="G57" s="127" t="s">
        <v>157</v>
      </c>
      <c r="H57" s="217"/>
      <c r="I57" s="218"/>
      <c r="J57" s="219"/>
      <c r="K57" s="219"/>
      <c r="L57" s="220">
        <f t="shared" si="32"/>
        <v>0</v>
      </c>
      <c r="M57" s="221">
        <f>L57*H57</f>
        <v>0</v>
      </c>
      <c r="Q57" s="98"/>
      <c r="T57" s="99"/>
    </row>
    <row r="58" spans="2:20" ht="16.5" thickBot="1" x14ac:dyDescent="0.3">
      <c r="B58" s="222"/>
      <c r="C58" s="223"/>
      <c r="D58" s="224"/>
      <c r="E58" s="224"/>
      <c r="F58" s="127" t="s">
        <v>156</v>
      </c>
      <c r="G58" s="127" t="s">
        <v>157</v>
      </c>
      <c r="H58" s="224"/>
      <c r="I58" s="225"/>
      <c r="J58" s="226"/>
      <c r="K58" s="226"/>
      <c r="L58" s="227">
        <f t="shared" si="32"/>
        <v>0</v>
      </c>
      <c r="M58" s="228">
        <f>L58*H58</f>
        <v>0</v>
      </c>
      <c r="Q58" s="98"/>
      <c r="T58" s="99"/>
    </row>
    <row r="59" spans="2:20" ht="16.5" thickBot="1" x14ac:dyDescent="0.3">
      <c r="B59" s="465" t="s">
        <v>188</v>
      </c>
      <c r="C59" s="466"/>
      <c r="D59" s="229"/>
      <c r="E59" s="230"/>
      <c r="F59" s="230"/>
      <c r="G59" s="230"/>
      <c r="H59" s="230"/>
      <c r="I59" s="231"/>
      <c r="J59" s="465" t="s">
        <v>145</v>
      </c>
      <c r="K59" s="467"/>
      <c r="L59" s="466"/>
      <c r="M59" s="202">
        <f>SUM(M56:M58)+M50</f>
        <v>0.84822967671058891</v>
      </c>
      <c r="Q59" s="98"/>
      <c r="T59" s="99"/>
    </row>
    <row r="60" spans="2:20" ht="16.5" thickBot="1" x14ac:dyDescent="0.3">
      <c r="B60" s="465" t="s">
        <v>189</v>
      </c>
      <c r="C60" s="466"/>
      <c r="D60" s="232"/>
      <c r="E60" s="233"/>
      <c r="F60" s="233"/>
      <c r="G60" s="233"/>
      <c r="H60" s="233"/>
      <c r="I60" s="234"/>
      <c r="J60" s="465" t="s">
        <v>181</v>
      </c>
      <c r="K60" s="471"/>
      <c r="L60" s="472"/>
      <c r="M60" s="202" t="str">
        <f>IF(M59&gt;=M6,"HP",IF(AND(M59&lt;M7,M59&gt;=L7),"P",IF(AND(M59&lt;M8,M59&gt;=L8),"T",IF(AND(M59&lt;M9,M59&gt;=L9),"C",IF(M59&lt;M10,"U")))))</f>
        <v>C</v>
      </c>
      <c r="Q60" s="98"/>
      <c r="R60" s="237"/>
      <c r="T60" s="99"/>
    </row>
    <row r="61" spans="2:20" x14ac:dyDescent="0.25">
      <c r="R61" s="238"/>
    </row>
    <row r="62" spans="2:20" hidden="1" x14ac:dyDescent="0.25">
      <c r="B62" s="235" t="s">
        <v>190</v>
      </c>
      <c r="C62" s="235"/>
      <c r="D62" s="235"/>
      <c r="E62" s="235"/>
      <c r="F62" s="235"/>
      <c r="G62" s="235"/>
      <c r="H62" s="235"/>
      <c r="I62" s="235"/>
      <c r="J62" s="235"/>
      <c r="K62" s="236"/>
      <c r="L62" s="236"/>
      <c r="M62" s="236"/>
      <c r="N62" s="236"/>
      <c r="O62" s="236"/>
      <c r="P62" s="236"/>
      <c r="Q62" s="236"/>
      <c r="R62" s="238"/>
    </row>
    <row r="63" spans="2:20" hidden="1" x14ac:dyDescent="0.25">
      <c r="B63" s="440" t="s">
        <v>191</v>
      </c>
      <c r="C63" s="474" t="str">
        <f>B62</f>
        <v>KEY BEHAVIOR INDICATOR (BASED CHITOSE CORE VALUE)</v>
      </c>
      <c r="D63" s="474"/>
      <c r="E63" s="474"/>
      <c r="F63" s="474"/>
      <c r="G63" s="474"/>
      <c r="H63" s="474"/>
      <c r="I63" s="474"/>
      <c r="J63" s="474"/>
      <c r="K63" s="474"/>
      <c r="L63" s="475"/>
      <c r="M63" s="485" t="s">
        <v>192</v>
      </c>
      <c r="N63" s="99"/>
      <c r="Q63" s="98"/>
      <c r="R63" s="238"/>
      <c r="S63" s="98"/>
    </row>
    <row r="64" spans="2:20" ht="16.5" hidden="1" thickBot="1" x14ac:dyDescent="0.3">
      <c r="B64" s="441"/>
      <c r="C64" s="534"/>
      <c r="D64" s="534"/>
      <c r="E64" s="534"/>
      <c r="F64" s="534"/>
      <c r="G64" s="534"/>
      <c r="H64" s="534"/>
      <c r="I64" s="534"/>
      <c r="J64" s="534"/>
      <c r="K64" s="534"/>
      <c r="L64" s="535"/>
      <c r="M64" s="536"/>
      <c r="N64" s="99"/>
      <c r="Q64" s="98"/>
      <c r="R64" s="238"/>
      <c r="S64" s="98"/>
    </row>
    <row r="65" spans="2:19" hidden="1" x14ac:dyDescent="0.25">
      <c r="B65" s="239">
        <v>1</v>
      </c>
      <c r="C65" s="537" t="s">
        <v>193</v>
      </c>
      <c r="D65" s="537"/>
      <c r="E65" s="537"/>
      <c r="F65" s="537"/>
      <c r="G65" s="537"/>
      <c r="H65" s="537"/>
      <c r="I65" s="537"/>
      <c r="J65" s="537"/>
      <c r="K65" s="537"/>
      <c r="L65" s="538"/>
      <c r="M65" s="240">
        <v>0</v>
      </c>
      <c r="N65" s="99"/>
      <c r="Q65" s="98"/>
      <c r="R65" s="238"/>
      <c r="S65" s="98"/>
    </row>
    <row r="66" spans="2:19" hidden="1" x14ac:dyDescent="0.25">
      <c r="B66" s="241">
        <v>2</v>
      </c>
      <c r="C66" s="539" t="s">
        <v>194</v>
      </c>
      <c r="D66" s="540"/>
      <c r="E66" s="540"/>
      <c r="F66" s="540"/>
      <c r="G66" s="540"/>
      <c r="H66" s="540"/>
      <c r="I66" s="540"/>
      <c r="J66" s="540"/>
      <c r="K66" s="540"/>
      <c r="L66" s="541"/>
      <c r="M66" s="240">
        <v>0</v>
      </c>
      <c r="N66" s="99"/>
      <c r="Q66" s="98"/>
      <c r="R66" s="238"/>
      <c r="S66" s="98"/>
    </row>
    <row r="67" spans="2:19" hidden="1" x14ac:dyDescent="0.25">
      <c r="B67" s="239">
        <v>3</v>
      </c>
      <c r="C67" s="537" t="s">
        <v>195</v>
      </c>
      <c r="D67" s="537"/>
      <c r="E67" s="537"/>
      <c r="F67" s="537"/>
      <c r="G67" s="537"/>
      <c r="H67" s="537"/>
      <c r="I67" s="537"/>
      <c r="J67" s="537"/>
      <c r="K67" s="537"/>
      <c r="L67" s="538"/>
      <c r="M67" s="240">
        <v>0</v>
      </c>
      <c r="N67" s="99"/>
      <c r="Q67" s="98"/>
      <c r="R67" s="238"/>
      <c r="S67" s="98"/>
    </row>
    <row r="68" spans="2:19" hidden="1" x14ac:dyDescent="0.25">
      <c r="B68" s="241">
        <v>4</v>
      </c>
      <c r="C68" s="539" t="s">
        <v>196</v>
      </c>
      <c r="D68" s="540"/>
      <c r="E68" s="540"/>
      <c r="F68" s="540"/>
      <c r="G68" s="540"/>
      <c r="H68" s="540"/>
      <c r="I68" s="540"/>
      <c r="J68" s="540"/>
      <c r="K68" s="540"/>
      <c r="L68" s="541"/>
      <c r="M68" s="240">
        <v>0</v>
      </c>
      <c r="N68" s="99"/>
      <c r="Q68" s="98"/>
      <c r="R68" s="238"/>
      <c r="S68" s="98"/>
    </row>
    <row r="69" spans="2:19" hidden="1" x14ac:dyDescent="0.25">
      <c r="B69" s="239">
        <v>5</v>
      </c>
      <c r="C69" s="539" t="s">
        <v>197</v>
      </c>
      <c r="D69" s="540"/>
      <c r="E69" s="540"/>
      <c r="F69" s="540"/>
      <c r="G69" s="540"/>
      <c r="H69" s="540"/>
      <c r="I69" s="540"/>
      <c r="J69" s="540"/>
      <c r="K69" s="540"/>
      <c r="L69" s="541"/>
      <c r="M69" s="240">
        <v>0</v>
      </c>
      <c r="N69" s="99"/>
      <c r="Q69" s="98"/>
      <c r="R69" s="238"/>
      <c r="S69" s="98"/>
    </row>
    <row r="70" spans="2:19" ht="16.5" hidden="1" thickBot="1" x14ac:dyDescent="0.3">
      <c r="B70" s="542" t="s">
        <v>198</v>
      </c>
      <c r="C70" s="543"/>
      <c r="D70" s="543"/>
      <c r="E70" s="543"/>
      <c r="F70" s="543"/>
      <c r="G70" s="543"/>
      <c r="H70" s="543"/>
      <c r="I70" s="543"/>
      <c r="J70" s="543"/>
      <c r="K70" s="543"/>
      <c r="L70" s="544"/>
      <c r="M70" s="242"/>
      <c r="N70" s="99"/>
      <c r="O70" s="99"/>
      <c r="Q70" s="98"/>
      <c r="R70" s="251"/>
      <c r="S70" s="98"/>
    </row>
    <row r="71" spans="2:19" ht="16.5" hidden="1" thickBot="1" x14ac:dyDescent="0.3">
      <c r="B71" s="243"/>
      <c r="C71" s="244"/>
      <c r="D71" s="245"/>
      <c r="E71" s="245"/>
      <c r="F71" s="246"/>
      <c r="G71" s="246"/>
      <c r="H71" s="246"/>
      <c r="I71" s="246"/>
      <c r="J71" s="246"/>
      <c r="K71" s="246"/>
      <c r="L71" s="246" t="s">
        <v>199</v>
      </c>
      <c r="M71" s="247">
        <f>AVERAGE(M65:M70)</f>
        <v>0</v>
      </c>
      <c r="N71" s="99"/>
      <c r="O71" s="99"/>
      <c r="Q71" s="98"/>
      <c r="R71" s="238"/>
      <c r="S71" s="98"/>
    </row>
    <row r="72" spans="2:19" x14ac:dyDescent="0.25">
      <c r="B72" s="109"/>
      <c r="C72" s="109"/>
      <c r="D72" s="248"/>
      <c r="E72" s="248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50"/>
      <c r="Q72" s="250"/>
      <c r="R72" s="238"/>
    </row>
    <row r="73" spans="2:19" x14ac:dyDescent="0.25">
      <c r="B73" s="249"/>
      <c r="C73" s="122"/>
      <c r="D73" s="122"/>
      <c r="E73" s="122"/>
      <c r="F73" s="249"/>
      <c r="G73" s="249"/>
      <c r="H73" s="249"/>
      <c r="I73" s="249"/>
      <c r="J73" s="249"/>
      <c r="K73" s="249"/>
      <c r="L73" s="249"/>
      <c r="M73" s="101"/>
      <c r="N73" s="101"/>
      <c r="O73" s="99"/>
      <c r="Q73" s="98"/>
      <c r="R73" s="253"/>
      <c r="S73" s="98"/>
    </row>
    <row r="74" spans="2:19" x14ac:dyDescent="0.25">
      <c r="B74" s="122"/>
      <c r="C74" s="122"/>
      <c r="D74" s="249"/>
      <c r="E74" s="249"/>
      <c r="F74" s="236"/>
      <c r="G74" s="236"/>
      <c r="H74" s="236"/>
      <c r="I74" s="236"/>
      <c r="J74" s="236"/>
      <c r="K74" s="236"/>
      <c r="L74" s="236"/>
      <c r="M74" s="236"/>
      <c r="N74" s="236"/>
      <c r="O74" s="99"/>
      <c r="Q74" s="98"/>
      <c r="R74" s="238"/>
      <c r="S74" s="98"/>
    </row>
    <row r="75" spans="2:19" ht="16.5" thickBot="1" x14ac:dyDescent="0.3">
      <c r="B75" s="248"/>
      <c r="C75" s="248"/>
      <c r="D75" s="252"/>
      <c r="E75" s="252"/>
      <c r="F75" s="248"/>
      <c r="G75" s="248"/>
      <c r="H75" s="248"/>
      <c r="I75" s="248"/>
      <c r="J75" s="248"/>
      <c r="K75" s="248"/>
      <c r="L75" s="248"/>
      <c r="M75" s="248"/>
      <c r="N75" s="248"/>
      <c r="O75" s="252"/>
      <c r="P75" s="248"/>
      <c r="Q75" s="248"/>
      <c r="R75" s="238"/>
    </row>
    <row r="76" spans="2:19" x14ac:dyDescent="0.25">
      <c r="B76" s="468" t="s">
        <v>200</v>
      </c>
      <c r="C76" s="469"/>
      <c r="D76" s="470"/>
      <c r="E76" s="254"/>
      <c r="F76" s="468" t="s">
        <v>201</v>
      </c>
      <c r="G76" s="469"/>
      <c r="H76" s="469"/>
      <c r="I76" s="469"/>
      <c r="J76" s="469"/>
      <c r="K76" s="469"/>
      <c r="L76" s="469"/>
      <c r="M76" s="470"/>
      <c r="N76" s="99"/>
      <c r="Q76" s="98"/>
      <c r="R76" s="238"/>
      <c r="S76" s="98"/>
    </row>
    <row r="77" spans="2:19" x14ac:dyDescent="0.25">
      <c r="B77" s="255" t="s">
        <v>128</v>
      </c>
      <c r="C77" s="256" t="s">
        <v>202</v>
      </c>
      <c r="D77" s="257" t="s">
        <v>133</v>
      </c>
      <c r="E77" s="258"/>
      <c r="F77" s="552" t="s">
        <v>128</v>
      </c>
      <c r="G77" s="553"/>
      <c r="H77" s="554"/>
      <c r="I77" s="555" t="s">
        <v>202</v>
      </c>
      <c r="J77" s="556"/>
      <c r="K77" s="552" t="s">
        <v>133</v>
      </c>
      <c r="L77" s="553"/>
      <c r="M77" s="557"/>
      <c r="N77" s="99"/>
      <c r="Q77" s="98"/>
      <c r="R77" s="238"/>
      <c r="S77" s="98"/>
    </row>
    <row r="78" spans="2:19" x14ac:dyDescent="0.25">
      <c r="B78" s="499">
        <f>C7</f>
        <v>0</v>
      </c>
      <c r="C78" s="502" t="str">
        <f>C8</f>
        <v>Kazuhiko Aminaka
Ade Arifin</v>
      </c>
      <c r="D78" s="505">
        <f>C9</f>
        <v>0</v>
      </c>
      <c r="E78" s="259"/>
      <c r="F78" s="508">
        <f>B78</f>
        <v>0</v>
      </c>
      <c r="G78" s="509"/>
      <c r="H78" s="510"/>
      <c r="I78" s="545" t="str">
        <f>C78</f>
        <v>Kazuhiko Aminaka
Ade Arifin</v>
      </c>
      <c r="J78" s="546"/>
      <c r="K78" s="508">
        <f>D78</f>
        <v>0</v>
      </c>
      <c r="L78" s="509"/>
      <c r="M78" s="546"/>
      <c r="N78" s="99"/>
      <c r="Q78" s="98"/>
      <c r="R78" s="238"/>
      <c r="S78" s="98"/>
    </row>
    <row r="79" spans="2:19" x14ac:dyDescent="0.25">
      <c r="B79" s="500"/>
      <c r="C79" s="503"/>
      <c r="D79" s="506"/>
      <c r="E79" s="260"/>
      <c r="F79" s="511"/>
      <c r="G79" s="419"/>
      <c r="H79" s="512"/>
      <c r="I79" s="418"/>
      <c r="J79" s="420"/>
      <c r="K79" s="511"/>
      <c r="L79" s="419"/>
      <c r="M79" s="420"/>
      <c r="N79" s="99"/>
      <c r="Q79" s="98"/>
      <c r="R79" s="238"/>
      <c r="S79" s="98"/>
    </row>
    <row r="80" spans="2:19" x14ac:dyDescent="0.25">
      <c r="B80" s="500"/>
      <c r="C80" s="503"/>
      <c r="D80" s="506"/>
      <c r="E80" s="260"/>
      <c r="F80" s="511"/>
      <c r="G80" s="419"/>
      <c r="H80" s="512"/>
      <c r="I80" s="418"/>
      <c r="J80" s="420"/>
      <c r="K80" s="511"/>
      <c r="L80" s="419"/>
      <c r="M80" s="420"/>
      <c r="N80" s="99"/>
      <c r="Q80" s="98"/>
      <c r="R80" s="238"/>
      <c r="S80" s="98"/>
    </row>
    <row r="81" spans="2:19" ht="16.5" thickBot="1" x14ac:dyDescent="0.3">
      <c r="B81" s="501"/>
      <c r="C81" s="504"/>
      <c r="D81" s="507"/>
      <c r="E81" s="261"/>
      <c r="F81" s="513"/>
      <c r="G81" s="514"/>
      <c r="H81" s="515"/>
      <c r="I81" s="547"/>
      <c r="J81" s="548"/>
      <c r="K81" s="513"/>
      <c r="L81" s="514"/>
      <c r="M81" s="548"/>
      <c r="N81" s="99"/>
      <c r="Q81" s="98"/>
      <c r="S81" s="98"/>
    </row>
    <row r="82" spans="2:19" ht="16.5" thickBot="1" x14ac:dyDescent="0.3">
      <c r="B82" s="262" t="s">
        <v>203</v>
      </c>
      <c r="C82" s="263" t="s">
        <v>203</v>
      </c>
      <c r="D82" s="264" t="s">
        <v>203</v>
      </c>
      <c r="E82" s="265"/>
      <c r="F82" s="490" t="s">
        <v>203</v>
      </c>
      <c r="G82" s="491"/>
      <c r="H82" s="549"/>
      <c r="I82" s="550" t="s">
        <v>203</v>
      </c>
      <c r="J82" s="491"/>
      <c r="K82" s="491" t="s">
        <v>203</v>
      </c>
      <c r="L82" s="491"/>
      <c r="M82" s="551"/>
      <c r="N82" s="99"/>
      <c r="Q82" s="98"/>
      <c r="S82" s="98"/>
    </row>
  </sheetData>
  <sheetProtection formatCells="0" formatColumns="0" insertRows="0" deleteRows="0"/>
  <mergeCells count="73">
    <mergeCell ref="B3:M3"/>
    <mergeCell ref="B4:M4"/>
    <mergeCell ref="J5:M5"/>
    <mergeCell ref="D6:D7"/>
    <mergeCell ref="E6:H7"/>
    <mergeCell ref="I6:I7"/>
    <mergeCell ref="J6:K6"/>
    <mergeCell ref="J7:K7"/>
    <mergeCell ref="B6:B7"/>
    <mergeCell ref="C6:C7"/>
    <mergeCell ref="D8:D9"/>
    <mergeCell ref="E8:H9"/>
    <mergeCell ref="I8:I10"/>
    <mergeCell ref="J8:K8"/>
    <mergeCell ref="J9:K9"/>
    <mergeCell ref="E10:H10"/>
    <mergeCell ref="J10:K10"/>
    <mergeCell ref="B16:B19"/>
    <mergeCell ref="C16:C17"/>
    <mergeCell ref="C19:G19"/>
    <mergeCell ref="C26:G26"/>
    <mergeCell ref="B14:B15"/>
    <mergeCell ref="C14:C15"/>
    <mergeCell ref="D14:D15"/>
    <mergeCell ref="E14:E15"/>
    <mergeCell ref="F14:F15"/>
    <mergeCell ref="G14:G15"/>
    <mergeCell ref="B27:B39"/>
    <mergeCell ref="C28:C30"/>
    <mergeCell ref="C31:C36"/>
    <mergeCell ref="C39:G39"/>
    <mergeCell ref="B40:B49"/>
    <mergeCell ref="C40:C44"/>
    <mergeCell ref="C45:C46"/>
    <mergeCell ref="C47:C48"/>
    <mergeCell ref="C49:G49"/>
    <mergeCell ref="C65:L65"/>
    <mergeCell ref="C50:G50"/>
    <mergeCell ref="J50:L50"/>
    <mergeCell ref="J51:L51"/>
    <mergeCell ref="B55:M55"/>
    <mergeCell ref="B59:C59"/>
    <mergeCell ref="J59:L59"/>
    <mergeCell ref="B60:C60"/>
    <mergeCell ref="J60:L60"/>
    <mergeCell ref="B63:B64"/>
    <mergeCell ref="C63:L64"/>
    <mergeCell ref="M63:M64"/>
    <mergeCell ref="I78:J81"/>
    <mergeCell ref="K78:M81"/>
    <mergeCell ref="C66:L66"/>
    <mergeCell ref="C67:L67"/>
    <mergeCell ref="C68:L68"/>
    <mergeCell ref="C69:L69"/>
    <mergeCell ref="B70:L70"/>
    <mergeCell ref="B76:D76"/>
    <mergeCell ref="F76:M76"/>
    <mergeCell ref="B8:B9"/>
    <mergeCell ref="C8:C9"/>
    <mergeCell ref="F82:H82"/>
    <mergeCell ref="I82:J82"/>
    <mergeCell ref="K82:M82"/>
    <mergeCell ref="B20:B26"/>
    <mergeCell ref="C20:C22"/>
    <mergeCell ref="C23:C25"/>
    <mergeCell ref="C37:C38"/>
    <mergeCell ref="F77:H77"/>
    <mergeCell ref="I77:J77"/>
    <mergeCell ref="K77:M77"/>
    <mergeCell ref="B78:B81"/>
    <mergeCell ref="C78:C81"/>
    <mergeCell ref="D78:D81"/>
    <mergeCell ref="F78:H81"/>
  </mergeCells>
  <conditionalFormatting sqref="E8 L16:L18 L20:L25 L27:L38 L40:L48">
    <cfRule type="cellIs" dxfId="245" priority="28" operator="greaterThan">
      <formula>1.25</formula>
    </cfRule>
    <cfRule type="cellIs" dxfId="244" priority="29" operator="equal">
      <formula>1.25</formula>
    </cfRule>
    <cfRule type="cellIs" dxfId="243" priority="30" operator="greaterThan">
      <formula>1.05</formula>
    </cfRule>
    <cfRule type="cellIs" dxfId="242" priority="31" operator="equal">
      <formula>1.05</formula>
    </cfRule>
    <cfRule type="cellIs" dxfId="241" priority="32" operator="greaterThan">
      <formula>0.95</formula>
    </cfRule>
    <cfRule type="cellIs" dxfId="240" priority="33" operator="equal">
      <formula>0.95</formula>
    </cfRule>
    <cfRule type="cellIs" dxfId="239" priority="34" operator="greaterThan">
      <formula>0.8</formula>
    </cfRule>
    <cfRule type="cellIs" dxfId="238" priority="35" operator="equal">
      <formula>0.8</formula>
    </cfRule>
    <cfRule type="cellIs" dxfId="237" priority="36" operator="lessThan">
      <formula>0.8</formula>
    </cfRule>
  </conditionalFormatting>
  <conditionalFormatting sqref="E10:E13">
    <cfRule type="containsText" dxfId="236" priority="37" operator="containsText" text="U">
      <formula>NOT(ISERROR(SEARCH("U",E10)))</formula>
    </cfRule>
    <cfRule type="containsText" dxfId="235" priority="38" operator="containsText" text="C">
      <formula>NOT(ISERROR(SEARCH("C",E10)))</formula>
    </cfRule>
    <cfRule type="containsText" dxfId="234" priority="39" operator="containsText" text="T">
      <formula>NOT(ISERROR(SEARCH("T",E10)))</formula>
    </cfRule>
    <cfRule type="containsText" dxfId="233" priority="40" operator="containsText" text="P">
      <formula>NOT(ISERROR(SEARCH("P",E10)))</formula>
    </cfRule>
    <cfRule type="containsText" dxfId="232" priority="41" operator="containsText" text="HP">
      <formula>NOT(ISERROR(SEARCH("HP",E10)))</formula>
    </cfRule>
  </conditionalFormatting>
  <conditionalFormatting sqref="L56:L58">
    <cfRule type="cellIs" dxfId="231" priority="19" operator="greaterThan">
      <formula>1.25</formula>
    </cfRule>
    <cfRule type="cellIs" dxfId="230" priority="20" operator="equal">
      <formula>1.25</formula>
    </cfRule>
    <cfRule type="cellIs" dxfId="229" priority="21" operator="greaterThan">
      <formula>1.05</formula>
    </cfRule>
    <cfRule type="cellIs" dxfId="228" priority="22" operator="equal">
      <formula>1.05</formula>
    </cfRule>
    <cfRule type="cellIs" dxfId="227" priority="23" operator="greaterThan">
      <formula>0.95</formula>
    </cfRule>
    <cfRule type="cellIs" dxfId="226" priority="24" operator="equal">
      <formula>0.95</formula>
    </cfRule>
    <cfRule type="cellIs" dxfId="225" priority="25" operator="greaterThan">
      <formula>0.8</formula>
    </cfRule>
    <cfRule type="cellIs" dxfId="224" priority="26" operator="equal">
      <formula>0.8</formula>
    </cfRule>
    <cfRule type="cellIs" dxfId="223" priority="27" operator="lessThan">
      <formula>0.8</formula>
    </cfRule>
  </conditionalFormatting>
  <conditionalFormatting sqref="M54 M56:M58">
    <cfRule type="cellIs" dxfId="222" priority="42" stopIfTrue="1" operator="equal">
      <formula>"U"</formula>
    </cfRule>
    <cfRule type="cellIs" dxfId="221" priority="43" stopIfTrue="1" operator="equal">
      <formula>"HP"</formula>
    </cfRule>
    <cfRule type="cellIs" dxfId="220" priority="44" stopIfTrue="1" operator="equal">
      <formula>"P"</formula>
    </cfRule>
    <cfRule type="cellIs" dxfId="219" priority="45" stopIfTrue="1" operator="equal">
      <formula>"T"</formula>
    </cfRule>
    <cfRule type="cellIs" dxfId="218" priority="46" stopIfTrue="1" operator="equal">
      <formula>"C"</formula>
    </cfRule>
  </conditionalFormatting>
  <dataValidations count="4">
    <dataValidation type="list" allowBlank="1" showInputMessage="1" showErrorMessage="1" sqref="G27:G38 G56:G58 G16:G18 G20:G25 G40:G48" xr:uid="{CCBDBEF6-7FA8-43A2-A6BF-EF770448929D}">
      <formula1>$T$10:$T$11</formula1>
    </dataValidation>
    <dataValidation type="list" allowBlank="1" showInputMessage="1" showErrorMessage="1" sqref="F27:F38 F56:F58 F16:F18 F20:F25 F40:F48" xr:uid="{87DDE857-7206-4CB6-BACD-4E2BE94111C8}">
      <formula1>$S$10:$S$14</formula1>
    </dataValidation>
    <dataValidation type="list" allowBlank="1" showInputMessage="1" showErrorMessage="1" sqref="E6:H7" xr:uid="{A20EE7B2-DBA7-4205-B301-A44031892E7A}">
      <formula1>$R$6:$R$7</formula1>
    </dataValidation>
    <dataValidation type="list" allowBlank="1" showInputMessage="1" showErrorMessage="1" sqref="B12:B13" xr:uid="{AD7B1A1C-D7B1-44A3-B8AA-FD7929889998}">
      <formula1>$R$8:$R$17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60" max="12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788B-8637-4752-9174-66FDAC81958F}">
  <dimension ref="A1:AC117"/>
  <sheetViews>
    <sheetView zoomScale="85" zoomScaleNormal="85" workbookViewId="0">
      <selection activeCell="C11" sqref="C11"/>
    </sheetView>
  </sheetViews>
  <sheetFormatPr defaultRowHeight="15" x14ac:dyDescent="0.25"/>
  <cols>
    <col min="1" max="1" width="24.5703125" bestFit="1" customWidth="1"/>
    <col min="2" max="4" width="10.7109375" bestFit="1" customWidth="1"/>
    <col min="5" max="13" width="10.5703125" bestFit="1" customWidth="1"/>
    <col min="14" max="14" width="16.7109375" bestFit="1" customWidth="1"/>
    <col min="16" max="16" width="11" bestFit="1" customWidth="1"/>
    <col min="29" max="29" width="16.7109375" bestFit="1" customWidth="1"/>
  </cols>
  <sheetData>
    <row r="1" spans="1:14" x14ac:dyDescent="0.25">
      <c r="A1" s="6" t="s">
        <v>46</v>
      </c>
    </row>
    <row r="2" spans="1:14" x14ac:dyDescent="0.25">
      <c r="A2" s="5" t="s">
        <v>45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95</v>
      </c>
    </row>
    <row r="3" spans="1:14" x14ac:dyDescent="0.25">
      <c r="A3" s="5" t="s">
        <v>41</v>
      </c>
      <c r="B3" s="3">
        <f>'Database Corp.'!B12</f>
        <v>4282</v>
      </c>
      <c r="C3" s="3">
        <f>'Database Corp.'!C12</f>
        <v>4333</v>
      </c>
      <c r="D3" s="3">
        <f>'Database Corp.'!D12</f>
        <v>3562</v>
      </c>
      <c r="E3" s="3">
        <f>'Database Corp.'!E12</f>
        <v>2649</v>
      </c>
      <c r="F3" s="3">
        <f>'Database Corp.'!F12</f>
        <v>4925</v>
      </c>
      <c r="G3" s="3">
        <f>'Database Corp.'!G12</f>
        <v>5688</v>
      </c>
      <c r="H3" s="3">
        <f>'Database Corp.'!H12</f>
        <v>5955</v>
      </c>
      <c r="I3" s="3">
        <f>'Database Corp.'!I12</f>
        <v>5704</v>
      </c>
      <c r="J3" s="3">
        <f>'Database Corp.'!J12</f>
        <v>6910</v>
      </c>
      <c r="K3" s="3">
        <f>'Database Corp.'!K12</f>
        <v>6739</v>
      </c>
      <c r="L3" s="3">
        <f>'Database Corp.'!L12</f>
        <v>8250</v>
      </c>
      <c r="M3" s="3">
        <f>'Database Corp.'!M12</f>
        <v>8034</v>
      </c>
      <c r="N3" s="7">
        <f>SUM(B3:M3)</f>
        <v>67031</v>
      </c>
    </row>
    <row r="4" spans="1:14" x14ac:dyDescent="0.25">
      <c r="A4" s="5" t="s">
        <v>42</v>
      </c>
      <c r="B4" s="3">
        <f>'Database Corp.'!B13</f>
        <v>4297.4398750000037</v>
      </c>
      <c r="C4" s="3">
        <f>'Database Corp.'!C13</f>
        <v>4545.469511999996</v>
      </c>
      <c r="D4" s="3">
        <f>'Database Corp.'!D13</f>
        <v>2944.3088299999981</v>
      </c>
      <c r="E4" s="3">
        <f>'Database Corp.'!E13</f>
        <v>2682.0088259999993</v>
      </c>
      <c r="F4" s="3">
        <f>'Database Corp.'!F13</f>
        <v>3532.0899819999941</v>
      </c>
      <c r="G4" s="3">
        <f>'Database Corp.'!G13</f>
        <v>0</v>
      </c>
      <c r="H4" s="3">
        <f>'Database Corp.'!H13</f>
        <v>0</v>
      </c>
      <c r="I4" s="3">
        <f>'Database Corp.'!I13</f>
        <v>0</v>
      </c>
      <c r="J4" s="3">
        <f>'Database Corp.'!J13</f>
        <v>0</v>
      </c>
      <c r="K4" s="3">
        <f>'Database Corp.'!K13</f>
        <v>0</v>
      </c>
      <c r="L4" s="3">
        <f>'Database Corp.'!L13</f>
        <v>0</v>
      </c>
      <c r="M4" s="3">
        <f>'Database Corp.'!M13</f>
        <v>0</v>
      </c>
      <c r="N4" s="7">
        <f>SUM(B4:M4)</f>
        <v>18001.317024999989</v>
      </c>
    </row>
    <row r="5" spans="1:14" x14ac:dyDescent="0.25">
      <c r="A5" s="5" t="s">
        <v>96</v>
      </c>
      <c r="B5" s="3">
        <f>B4</f>
        <v>4297.4398750000037</v>
      </c>
      <c r="C5" s="3">
        <f>SUM($B$4:C$4)</f>
        <v>8842.9093869999997</v>
      </c>
      <c r="D5" s="3">
        <f>SUM($B$4:D$4)</f>
        <v>11787.218216999998</v>
      </c>
      <c r="E5" s="3">
        <f>SUM($B$4:E$4)</f>
        <v>14469.227042999997</v>
      </c>
      <c r="F5" s="3">
        <f>SUM($B$4:F$4)</f>
        <v>18001.317024999989</v>
      </c>
      <c r="G5" s="3">
        <f>SUM($B$4:G$4)</f>
        <v>18001.317024999989</v>
      </c>
      <c r="H5" s="3">
        <f>SUM($B$4:H$4)</f>
        <v>18001.317024999989</v>
      </c>
      <c r="I5" s="3">
        <f>SUM($B$4:I$4)</f>
        <v>18001.317024999989</v>
      </c>
      <c r="J5" s="3">
        <f>SUM($B$4:J$4)</f>
        <v>18001.317024999989</v>
      </c>
      <c r="K5" s="3">
        <f>SUM($B$4:K$4)</f>
        <v>18001.317024999989</v>
      </c>
      <c r="L5" s="3">
        <f>SUM($B$4:L$4)</f>
        <v>18001.317024999989</v>
      </c>
      <c r="M5" s="3">
        <f>SUM($B$4:M$4)</f>
        <v>18001.317024999989</v>
      </c>
      <c r="N5" s="7"/>
    </row>
    <row r="6" spans="1:14" x14ac:dyDescent="0.25">
      <c r="A6" s="5" t="s">
        <v>43</v>
      </c>
      <c r="B6" s="4">
        <f>B4/B3</f>
        <v>1.0036057624941626</v>
      </c>
      <c r="C6" s="4">
        <f t="shared" ref="C6:N6" si="0">C4/C3</f>
        <v>1.0490351977844441</v>
      </c>
      <c r="D6" s="4">
        <f t="shared" si="0"/>
        <v>0.82658866647950535</v>
      </c>
      <c r="E6" s="4">
        <f t="shared" si="0"/>
        <v>1.0124608629671572</v>
      </c>
      <c r="F6" s="4">
        <f t="shared" si="0"/>
        <v>0.717175630862943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0.26855211804985735</v>
      </c>
    </row>
    <row r="7" spans="1:14" x14ac:dyDescent="0.25">
      <c r="A7" s="5" t="s">
        <v>44</v>
      </c>
      <c r="B7" s="4">
        <f>SUM($B$4:B$4)/SUM($B$3:B$3)</f>
        <v>1.0036057624941626</v>
      </c>
      <c r="C7" s="4">
        <f>SUM($B$4:C$4)/SUM($B$3:C$3)</f>
        <v>1.0264549491584445</v>
      </c>
      <c r="D7" s="4">
        <f>SUM($B$4:D$4)/SUM($B$3:D$3)</f>
        <v>0.9679903274205468</v>
      </c>
      <c r="E7" s="4">
        <f>SUM($B$4:E$4)/SUM($B$3:E$3)</f>
        <v>0.97593599372723572</v>
      </c>
      <c r="F7" s="4">
        <f>SUM($B$4:F$4)/SUM($B$3:F$3)</f>
        <v>0.91141294238266368</v>
      </c>
      <c r="G7" s="4">
        <f>SUM($B$4:G$4)/SUM($B$3:G$3)</f>
        <v>0.70762675517905538</v>
      </c>
      <c r="H7" s="4">
        <f>SUM($B$4:H$4)/SUM($B$3:H$3)</f>
        <v>0.5733999179779572</v>
      </c>
      <c r="I7" s="4">
        <f>SUM($B$4:I$4)/SUM($B$3:I$3)</f>
        <v>0.48523685980376274</v>
      </c>
      <c r="J7" s="4">
        <f>SUM($B$4:J$4)/SUM($B$3:J$3)</f>
        <v>0.40904646939192851</v>
      </c>
      <c r="K7" s="4">
        <f>SUM($B$4:K$4)/SUM($B$3:K$3)</f>
        <v>0.35472672325457644</v>
      </c>
      <c r="L7" s="4">
        <f>SUM($B$4:L$4)/SUM($B$3:L$3)</f>
        <v>0.30512258292794531</v>
      </c>
      <c r="M7" s="4">
        <f>SUM($B$4:M$4)/SUM($B$3:M$3)</f>
        <v>0.26855211804985735</v>
      </c>
      <c r="N7" s="4"/>
    </row>
    <row r="10" spans="1:14" x14ac:dyDescent="0.25">
      <c r="A10" s="6" t="s">
        <v>46</v>
      </c>
    </row>
    <row r="11" spans="1:14" x14ac:dyDescent="0.25">
      <c r="A11" s="5" t="s">
        <v>47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95</v>
      </c>
    </row>
    <row r="12" spans="1:14" x14ac:dyDescent="0.25">
      <c r="A12" s="5" t="s">
        <v>41</v>
      </c>
      <c r="B12" s="3">
        <f>'Database Corp.'!B21</f>
        <v>-378</v>
      </c>
      <c r="C12" s="3">
        <f>'Database Corp.'!C21</f>
        <v>-331</v>
      </c>
      <c r="D12" s="3">
        <f>'Database Corp.'!D21</f>
        <v>-618</v>
      </c>
      <c r="E12" s="3">
        <f>'Database Corp.'!E21</f>
        <v>1096</v>
      </c>
      <c r="F12" s="3">
        <f>'Database Corp.'!F21</f>
        <v>3106</v>
      </c>
      <c r="G12" s="3">
        <f>'Database Corp.'!G21</f>
        <v>1255</v>
      </c>
      <c r="H12" s="3">
        <f>'Database Corp.'!H21</f>
        <v>1554</v>
      </c>
      <c r="I12" s="3">
        <f>'Database Corp.'!I21</f>
        <v>1330</v>
      </c>
      <c r="J12" s="3">
        <f>'Database Corp.'!J21</f>
        <v>2613</v>
      </c>
      <c r="K12" s="3">
        <f>'Database Corp.'!K21</f>
        <v>2041</v>
      </c>
      <c r="L12" s="3">
        <f>'Database Corp.'!L21</f>
        <v>3601</v>
      </c>
      <c r="M12" s="3">
        <f>'Database Corp.'!M21</f>
        <v>3774</v>
      </c>
      <c r="N12" s="7">
        <f>SUM(B12:M12)</f>
        <v>19043</v>
      </c>
    </row>
    <row r="13" spans="1:14" x14ac:dyDescent="0.25">
      <c r="A13" s="5" t="s">
        <v>42</v>
      </c>
      <c r="B13" s="3">
        <f>'Database Corp.'!B22</f>
        <v>435.96089399999573</v>
      </c>
      <c r="C13" s="3">
        <f>'Database Corp.'!C22</f>
        <v>-616.09659700000157</v>
      </c>
      <c r="D13" s="3">
        <f>'Database Corp.'!D22</f>
        <v>-615.20231200000012</v>
      </c>
      <c r="E13" s="3">
        <f>'Database Corp.'!E22</f>
        <v>6768.7153649999946</v>
      </c>
      <c r="F13" s="3">
        <f>'Database Corp.'!F22</f>
        <v>6175.0071279999956</v>
      </c>
      <c r="G13" s="3">
        <f>'Database Corp.'!G22</f>
        <v>0</v>
      </c>
      <c r="H13" s="3">
        <f>'Database Corp.'!H22</f>
        <v>0</v>
      </c>
      <c r="I13" s="3">
        <f>'Database Corp.'!I22</f>
        <v>0</v>
      </c>
      <c r="J13" s="3">
        <f>'Database Corp.'!J22</f>
        <v>0</v>
      </c>
      <c r="K13" s="3">
        <f>'Database Corp.'!K22</f>
        <v>0</v>
      </c>
      <c r="L13" s="3">
        <f>'Database Corp.'!L22</f>
        <v>0</v>
      </c>
      <c r="M13" s="3">
        <f>'Database Corp.'!M22</f>
        <v>0</v>
      </c>
      <c r="N13" s="7">
        <f>SUM(B13:M13)</f>
        <v>12148.384477999985</v>
      </c>
    </row>
    <row r="14" spans="1:14" x14ac:dyDescent="0.25">
      <c r="A14" s="5" t="s">
        <v>96</v>
      </c>
      <c r="B14" s="3">
        <f>B13</f>
        <v>435.96089399999573</v>
      </c>
      <c r="C14" s="3">
        <f>SUM($B$13:C$13)</f>
        <v>-180.13570300000583</v>
      </c>
      <c r="D14" s="3">
        <f>SUM($B$13:D$13)</f>
        <v>-795.33801500000595</v>
      </c>
      <c r="E14" s="3">
        <f>SUM($B$13:E$13)</f>
        <v>5973.3773499999888</v>
      </c>
      <c r="F14" s="3">
        <f>SUM($B$13:F$13)</f>
        <v>12148.384477999985</v>
      </c>
      <c r="G14" s="3">
        <f>SUM($B$13:G$13)</f>
        <v>12148.384477999985</v>
      </c>
      <c r="H14" s="3">
        <f>SUM($B$13:H$13)</f>
        <v>12148.384477999985</v>
      </c>
      <c r="I14" s="3">
        <f>SUM($B$13:I$13)</f>
        <v>12148.384477999985</v>
      </c>
      <c r="J14" s="3">
        <f>SUM($B$13:J$13)</f>
        <v>12148.384477999985</v>
      </c>
      <c r="K14" s="3">
        <f>SUM($B$13:K$13)</f>
        <v>12148.384477999985</v>
      </c>
      <c r="L14" s="3">
        <f>SUM($B$13:L$13)</f>
        <v>12148.384477999985</v>
      </c>
      <c r="M14" s="3">
        <f>SUM($B$13:M$13)</f>
        <v>12148.384477999985</v>
      </c>
      <c r="N14" s="7"/>
    </row>
    <row r="15" spans="1:14" x14ac:dyDescent="0.25">
      <c r="A15" s="5" t="s">
        <v>43</v>
      </c>
      <c r="B15" s="4">
        <f>B13/B12</f>
        <v>-1.153335698412687</v>
      </c>
      <c r="C15" s="4">
        <f t="shared" ref="C15:N15" si="1">C13/C12</f>
        <v>1.861319024169189</v>
      </c>
      <c r="D15" s="4">
        <f t="shared" si="1"/>
        <v>0.99547299676375423</v>
      </c>
      <c r="E15" s="4">
        <f t="shared" si="1"/>
        <v>6.1758351870437904</v>
      </c>
      <c r="F15" s="4">
        <f t="shared" si="1"/>
        <v>1.9880898673535079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>
        <f t="shared" si="1"/>
        <v>0.63794488673003125</v>
      </c>
    </row>
    <row r="16" spans="1:14" x14ac:dyDescent="0.25">
      <c r="A16" s="5" t="s">
        <v>44</v>
      </c>
      <c r="B16" s="4">
        <f>SUM($B$13:B$13)/SUM($B$12:B$12)</f>
        <v>-1.153335698412687</v>
      </c>
      <c r="C16" s="4">
        <f>SUM($B$13:C$13)/SUM($B$12:C$12)</f>
        <v>0.25407010296192645</v>
      </c>
      <c r="D16" s="4">
        <f>SUM($B$13:D$13)/SUM($B$12:D$12)</f>
        <v>0.59935042577242348</v>
      </c>
      <c r="E16" s="4">
        <f>SUM($B$13:E$13)/SUM($B$12:E$12)</f>
        <v>-25.85877640692636</v>
      </c>
      <c r="F16" s="4">
        <f>SUM($B$13:F$13)/SUM($B$12:F$12)</f>
        <v>4.2255250358260819</v>
      </c>
      <c r="G16" s="4">
        <f>SUM($B$13:G$13)/SUM($B$12:G$12)</f>
        <v>2.9414974523002386</v>
      </c>
      <c r="H16" s="4">
        <f>SUM($B$13:H$13)/SUM($B$12:H$12)</f>
        <v>2.1372949468683999</v>
      </c>
      <c r="I16" s="4">
        <f>SUM($B$13:I$13)/SUM($B$12:I$12)</f>
        <v>1.7320194579412582</v>
      </c>
      <c r="J16" s="4">
        <f>SUM($B$13:J$13)/SUM($B$12:J$12)</f>
        <v>1.2619076013295922</v>
      </c>
      <c r="K16" s="4">
        <f>SUM($B$13:K$13)/SUM($B$12:K$12)</f>
        <v>1.0411711071306124</v>
      </c>
      <c r="L16" s="4">
        <f>SUM($B$13:L$13)/SUM($B$12:L$12)</f>
        <v>0.79562410622830471</v>
      </c>
      <c r="M16" s="4">
        <f>SUM($B$13:M$13)/SUM($B$12:M$12)</f>
        <v>0.63794488673003125</v>
      </c>
      <c r="N16" s="4"/>
    </row>
    <row r="19" spans="1:29" x14ac:dyDescent="0.25">
      <c r="A19" s="6" t="s">
        <v>46</v>
      </c>
    </row>
    <row r="20" spans="1:29" x14ac:dyDescent="0.25">
      <c r="A20" s="5" t="s">
        <v>215</v>
      </c>
      <c r="B20" s="5" t="s">
        <v>29</v>
      </c>
      <c r="C20" s="5" t="s">
        <v>30</v>
      </c>
      <c r="D20" s="5" t="s">
        <v>31</v>
      </c>
      <c r="E20" s="5" t="s">
        <v>32</v>
      </c>
      <c r="F20" s="5" t="s">
        <v>33</v>
      </c>
      <c r="G20" s="5" t="s">
        <v>34</v>
      </c>
      <c r="H20" s="5" t="s">
        <v>35</v>
      </c>
      <c r="I20" s="5" t="s">
        <v>36</v>
      </c>
      <c r="J20" s="5" t="s">
        <v>37</v>
      </c>
      <c r="K20" s="5" t="s">
        <v>38</v>
      </c>
      <c r="L20" s="5" t="s">
        <v>39</v>
      </c>
      <c r="M20" s="5" t="s">
        <v>40</v>
      </c>
      <c r="N20" s="5" t="s">
        <v>95</v>
      </c>
      <c r="P20" s="5" t="s">
        <v>237</v>
      </c>
      <c r="Q20" s="5" t="s">
        <v>29</v>
      </c>
      <c r="R20" s="5" t="s">
        <v>30</v>
      </c>
      <c r="S20" s="5" t="s">
        <v>31</v>
      </c>
      <c r="T20" s="5" t="s">
        <v>32</v>
      </c>
      <c r="U20" s="5" t="s">
        <v>33</v>
      </c>
      <c r="V20" s="5" t="s">
        <v>34</v>
      </c>
      <c r="W20" s="5" t="s">
        <v>35</v>
      </c>
      <c r="X20" s="5" t="s">
        <v>36</v>
      </c>
      <c r="Y20" s="5" t="s">
        <v>37</v>
      </c>
      <c r="Z20" s="5" t="s">
        <v>38</v>
      </c>
      <c r="AA20" s="5" t="s">
        <v>39</v>
      </c>
      <c r="AB20" s="5" t="s">
        <v>40</v>
      </c>
      <c r="AC20" s="5" t="s">
        <v>95</v>
      </c>
    </row>
    <row r="21" spans="1:29" x14ac:dyDescent="0.25">
      <c r="A21" s="5" t="s">
        <v>41</v>
      </c>
      <c r="B21" s="4">
        <v>0.95</v>
      </c>
      <c r="C21" s="4">
        <v>0.95</v>
      </c>
      <c r="D21" s="4">
        <v>0.95</v>
      </c>
      <c r="E21" s="4">
        <v>0.95</v>
      </c>
      <c r="F21" s="4">
        <v>0.95</v>
      </c>
      <c r="G21" s="4">
        <v>0.95</v>
      </c>
      <c r="H21" s="4">
        <v>0.95</v>
      </c>
      <c r="I21" s="4">
        <v>0.95</v>
      </c>
      <c r="J21" s="4">
        <v>0.95</v>
      </c>
      <c r="K21" s="4">
        <v>0.95</v>
      </c>
      <c r="L21" s="4">
        <v>0.95</v>
      </c>
      <c r="M21" s="4">
        <v>0.95</v>
      </c>
      <c r="N21" s="4">
        <f>AVERAGE(B21:M21)</f>
        <v>0.94999999999999984</v>
      </c>
      <c r="P21" s="5" t="s">
        <v>104</v>
      </c>
      <c r="Q21" s="295">
        <v>0.95</v>
      </c>
      <c r="R21" s="295">
        <v>0.95</v>
      </c>
      <c r="S21" s="295">
        <v>0.95</v>
      </c>
      <c r="T21" s="295">
        <v>0.95</v>
      </c>
      <c r="U21" s="295">
        <v>0.95</v>
      </c>
      <c r="V21" s="295">
        <v>0.95</v>
      </c>
      <c r="W21" s="295">
        <v>0.95</v>
      </c>
      <c r="X21" s="295">
        <v>0.95</v>
      </c>
      <c r="Y21" s="295">
        <v>0.95</v>
      </c>
      <c r="Z21" s="295">
        <v>0.95</v>
      </c>
      <c r="AA21" s="295">
        <v>0.95</v>
      </c>
      <c r="AB21" s="295">
        <v>0.95</v>
      </c>
      <c r="AC21" s="295">
        <f>AVERAGE(Q21:AB21)</f>
        <v>0.94999999999999984</v>
      </c>
    </row>
    <row r="22" spans="1:29" x14ac:dyDescent="0.25">
      <c r="A22" s="5" t="s">
        <v>42</v>
      </c>
      <c r="B22" s="4">
        <f>Q26</f>
        <v>0.95</v>
      </c>
      <c r="C22" s="4">
        <f t="shared" ref="C22:M22" si="2">R26</f>
        <v>0.95</v>
      </c>
      <c r="D22" s="4">
        <f t="shared" si="2"/>
        <v>0.95</v>
      </c>
      <c r="E22" s="4">
        <f t="shared" si="2"/>
        <v>0.95</v>
      </c>
      <c r="F22" s="4">
        <f t="shared" si="2"/>
        <v>0.95</v>
      </c>
      <c r="G22" s="4">
        <f t="shared" si="2"/>
        <v>0.95</v>
      </c>
      <c r="H22" s="4">
        <f t="shared" si="2"/>
        <v>0.95</v>
      </c>
      <c r="I22" s="4">
        <f t="shared" si="2"/>
        <v>0.95</v>
      </c>
      <c r="J22" s="4">
        <f t="shared" si="2"/>
        <v>0.95</v>
      </c>
      <c r="K22" s="4">
        <f t="shared" si="2"/>
        <v>0.95</v>
      </c>
      <c r="L22" s="4">
        <f t="shared" si="2"/>
        <v>0.95</v>
      </c>
      <c r="M22" s="4">
        <f t="shared" si="2"/>
        <v>0.95</v>
      </c>
      <c r="N22" s="4">
        <f>AVERAGE(B22:M22)</f>
        <v>0.94999999999999984</v>
      </c>
      <c r="P22" s="5" t="s">
        <v>105</v>
      </c>
      <c r="Q22" s="295">
        <v>0.95</v>
      </c>
      <c r="R22" s="295">
        <v>0.95</v>
      </c>
      <c r="S22" s="295">
        <v>0.95</v>
      </c>
      <c r="T22" s="295">
        <v>0.95</v>
      </c>
      <c r="U22" s="295">
        <v>0.95</v>
      </c>
      <c r="V22" s="295">
        <v>0.95</v>
      </c>
      <c r="W22" s="295">
        <v>0.95</v>
      </c>
      <c r="X22" s="295">
        <v>0.95</v>
      </c>
      <c r="Y22" s="295">
        <v>0.95</v>
      </c>
      <c r="Z22" s="295">
        <v>0.95</v>
      </c>
      <c r="AA22" s="295">
        <v>0.95</v>
      </c>
      <c r="AB22" s="295">
        <v>0.95</v>
      </c>
      <c r="AC22" s="295">
        <f t="shared" ref="AC22:AC26" si="3">AVERAGE(Q22:AB22)</f>
        <v>0.94999999999999984</v>
      </c>
    </row>
    <row r="23" spans="1:29" x14ac:dyDescent="0.25">
      <c r="A23" s="5" t="s">
        <v>286</v>
      </c>
      <c r="B23" s="4">
        <f t="shared" ref="B23:N23" si="4">((B21-B22)/B21)+1</f>
        <v>1</v>
      </c>
      <c r="C23" s="4">
        <f t="shared" si="4"/>
        <v>1</v>
      </c>
      <c r="D23" s="4">
        <f t="shared" si="4"/>
        <v>1</v>
      </c>
      <c r="E23" s="4">
        <f t="shared" si="4"/>
        <v>1</v>
      </c>
      <c r="F23" s="4">
        <f t="shared" si="4"/>
        <v>1</v>
      </c>
      <c r="G23" s="4">
        <f t="shared" si="4"/>
        <v>1</v>
      </c>
      <c r="H23" s="4">
        <f t="shared" si="4"/>
        <v>1</v>
      </c>
      <c r="I23" s="4">
        <f t="shared" si="4"/>
        <v>1</v>
      </c>
      <c r="J23" s="4">
        <f t="shared" si="4"/>
        <v>1</v>
      </c>
      <c r="K23" s="4">
        <f t="shared" si="4"/>
        <v>1</v>
      </c>
      <c r="L23" s="4">
        <f t="shared" si="4"/>
        <v>1</v>
      </c>
      <c r="M23" s="4">
        <f t="shared" si="4"/>
        <v>1</v>
      </c>
      <c r="N23" s="4">
        <f t="shared" si="4"/>
        <v>1</v>
      </c>
      <c r="P23" s="5" t="s">
        <v>307</v>
      </c>
      <c r="Q23" s="295">
        <v>0.95</v>
      </c>
      <c r="R23" s="295">
        <v>0.95</v>
      </c>
      <c r="S23" s="295">
        <v>0.95</v>
      </c>
      <c r="T23" s="295">
        <v>0.95</v>
      </c>
      <c r="U23" s="295">
        <v>0.95</v>
      </c>
      <c r="V23" s="295">
        <v>0.95</v>
      </c>
      <c r="W23" s="295">
        <v>0.95</v>
      </c>
      <c r="X23" s="295">
        <v>0.95</v>
      </c>
      <c r="Y23" s="295">
        <v>0.95</v>
      </c>
      <c r="Z23" s="295">
        <v>0.95</v>
      </c>
      <c r="AA23" s="295">
        <v>0.95</v>
      </c>
      <c r="AB23" s="295">
        <v>0.95</v>
      </c>
      <c r="AC23" s="295">
        <f t="shared" si="3"/>
        <v>0.94999999999999984</v>
      </c>
    </row>
    <row r="24" spans="1:29" x14ac:dyDescent="0.25">
      <c r="A24" s="5" t="s">
        <v>44</v>
      </c>
      <c r="B24" s="4">
        <f>B22/B21</f>
        <v>1</v>
      </c>
      <c r="C24" s="4">
        <f>SUM($B$22:C$22)/COUNT($B$21:C$21)</f>
        <v>0.95</v>
      </c>
      <c r="D24" s="4">
        <f>SUM($B$22:D$22)/COUNT($B$21:D$21)</f>
        <v>0.94999999999999984</v>
      </c>
      <c r="E24" s="4">
        <f>SUM($B$22:E$22)/COUNT($B$21:E$21)</f>
        <v>0.95</v>
      </c>
      <c r="F24" s="4">
        <f>SUM($B$22:F$22)/COUNT($B$21:F$21)</f>
        <v>0.95</v>
      </c>
      <c r="G24" s="4">
        <f>SUM($B$22:G$22)/COUNT($B$21:G$21)</f>
        <v>0.95000000000000007</v>
      </c>
      <c r="H24" s="4">
        <f>SUM($B$22:H$22)/COUNT($B$21:H$21)</f>
        <v>0.95000000000000007</v>
      </c>
      <c r="I24" s="4">
        <f>SUM($B$22:I$22)/COUNT($B$21:I$21)</f>
        <v>0.95000000000000007</v>
      </c>
      <c r="J24" s="4">
        <f>SUM($B$22:J$22)/COUNT($B$21:J$21)</f>
        <v>0.95000000000000007</v>
      </c>
      <c r="K24" s="4">
        <f>SUM($B$22:K$22)/COUNT($B$21:K$21)</f>
        <v>0.95</v>
      </c>
      <c r="L24" s="4">
        <f>SUM($B$22:L$22)/COUNT($B$21:L$21)</f>
        <v>0.95</v>
      </c>
      <c r="M24" s="4">
        <f>SUM($B$22:M$22)/COUNT($B$21:M$21)</f>
        <v>0.94999999999999984</v>
      </c>
      <c r="N24" s="4"/>
      <c r="P24" s="5" t="s">
        <v>364</v>
      </c>
      <c r="Q24" s="295">
        <v>0.95</v>
      </c>
      <c r="R24" s="295">
        <v>0.95</v>
      </c>
      <c r="S24" s="295">
        <v>0.95</v>
      </c>
      <c r="T24" s="295">
        <v>0.95</v>
      </c>
      <c r="U24" s="295">
        <v>0.95</v>
      </c>
      <c r="V24" s="295">
        <v>0.95</v>
      </c>
      <c r="W24" s="295">
        <v>0.95</v>
      </c>
      <c r="X24" s="295">
        <v>0.95</v>
      </c>
      <c r="Y24" s="295">
        <v>0.95</v>
      </c>
      <c r="Z24" s="295">
        <v>0.95</v>
      </c>
      <c r="AA24" s="295">
        <v>0.95</v>
      </c>
      <c r="AB24" s="295">
        <v>0.95</v>
      </c>
      <c r="AC24" s="295">
        <f t="shared" si="3"/>
        <v>0.94999999999999984</v>
      </c>
    </row>
    <row r="25" spans="1:29" x14ac:dyDescent="0.25">
      <c r="P25" s="5" t="s">
        <v>305</v>
      </c>
      <c r="Q25" s="295">
        <v>0.95</v>
      </c>
      <c r="R25" s="295">
        <v>0.95</v>
      </c>
      <c r="S25" s="295">
        <v>0.95</v>
      </c>
      <c r="T25" s="295">
        <v>0.95</v>
      </c>
      <c r="U25" s="295">
        <v>0.95</v>
      </c>
      <c r="V25" s="295">
        <v>0.95</v>
      </c>
      <c r="W25" s="295">
        <v>0.95</v>
      </c>
      <c r="X25" s="295">
        <v>0.95</v>
      </c>
      <c r="Y25" s="295">
        <v>0.95</v>
      </c>
      <c r="Z25" s="295">
        <v>0.95</v>
      </c>
      <c r="AA25" s="295">
        <v>0.95</v>
      </c>
      <c r="AB25" s="295">
        <v>0.95</v>
      </c>
      <c r="AC25" s="295">
        <f t="shared" si="3"/>
        <v>0.94999999999999984</v>
      </c>
    </row>
    <row r="26" spans="1:29" x14ac:dyDescent="0.25">
      <c r="P26" s="5" t="s">
        <v>306</v>
      </c>
      <c r="Q26" s="296">
        <f t="shared" ref="Q26:AB26" si="5">AVERAGE(Q21:Q25)</f>
        <v>0.95</v>
      </c>
      <c r="R26" s="296">
        <f t="shared" si="5"/>
        <v>0.95</v>
      </c>
      <c r="S26" s="296">
        <f t="shared" si="5"/>
        <v>0.95</v>
      </c>
      <c r="T26" s="296">
        <f t="shared" si="5"/>
        <v>0.95</v>
      </c>
      <c r="U26" s="296">
        <f t="shared" si="5"/>
        <v>0.95</v>
      </c>
      <c r="V26" s="296">
        <f t="shared" si="5"/>
        <v>0.95</v>
      </c>
      <c r="W26" s="296">
        <f t="shared" si="5"/>
        <v>0.95</v>
      </c>
      <c r="X26" s="296">
        <f t="shared" si="5"/>
        <v>0.95</v>
      </c>
      <c r="Y26" s="296">
        <f t="shared" si="5"/>
        <v>0.95</v>
      </c>
      <c r="Z26" s="296">
        <f t="shared" si="5"/>
        <v>0.95</v>
      </c>
      <c r="AA26" s="296">
        <f t="shared" si="5"/>
        <v>0.95</v>
      </c>
      <c r="AB26" s="296">
        <f t="shared" si="5"/>
        <v>0.95</v>
      </c>
      <c r="AC26" s="296">
        <f t="shared" si="3"/>
        <v>0.94999999999999984</v>
      </c>
    </row>
    <row r="27" spans="1:29" x14ac:dyDescent="0.25">
      <c r="A27" s="6" t="s">
        <v>50</v>
      </c>
    </row>
    <row r="28" spans="1:29" x14ac:dyDescent="0.25">
      <c r="A28" s="5" t="s">
        <v>287</v>
      </c>
      <c r="B28" s="5" t="s">
        <v>29</v>
      </c>
      <c r="C28" s="5" t="s">
        <v>30</v>
      </c>
      <c r="D28" s="5" t="s">
        <v>31</v>
      </c>
      <c r="E28" s="5" t="s">
        <v>32</v>
      </c>
      <c r="F28" s="5" t="s">
        <v>33</v>
      </c>
      <c r="G28" s="5" t="s">
        <v>34</v>
      </c>
      <c r="H28" s="5" t="s">
        <v>35</v>
      </c>
      <c r="I28" s="5" t="s">
        <v>36</v>
      </c>
      <c r="J28" s="5" t="s">
        <v>37</v>
      </c>
      <c r="K28" s="5" t="s">
        <v>38</v>
      </c>
      <c r="L28" s="5" t="s">
        <v>39</v>
      </c>
      <c r="M28" s="5" t="s">
        <v>40</v>
      </c>
      <c r="N28" s="5" t="s">
        <v>95</v>
      </c>
    </row>
    <row r="29" spans="1:29" x14ac:dyDescent="0.25">
      <c r="A29" s="5" t="s">
        <v>41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7">
        <f>SUM(B29:M29)</f>
        <v>0</v>
      </c>
    </row>
    <row r="30" spans="1:29" x14ac:dyDescent="0.25">
      <c r="A30" s="5" t="s">
        <v>42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7">
        <f>SUM(B30:M30)</f>
        <v>0</v>
      </c>
    </row>
    <row r="31" spans="1:29" x14ac:dyDescent="0.25">
      <c r="A31" s="5" t="s">
        <v>96</v>
      </c>
      <c r="B31" s="3">
        <f>B30</f>
        <v>0</v>
      </c>
      <c r="C31" s="3">
        <f>SUM($B$30:C$30)</f>
        <v>0</v>
      </c>
      <c r="D31" s="3">
        <f>SUM($B$30:D$30)</f>
        <v>0</v>
      </c>
      <c r="E31" s="3">
        <f>SUM($B$30:E$30)</f>
        <v>0</v>
      </c>
      <c r="F31" s="3">
        <f>SUM($B$30:F$30)</f>
        <v>0</v>
      </c>
      <c r="G31" s="3">
        <f>SUM($B$30:G$30)</f>
        <v>0</v>
      </c>
      <c r="H31" s="3">
        <f>SUM($B$30:H$30)</f>
        <v>0</v>
      </c>
      <c r="I31" s="3">
        <f>SUM($B$30:I$30)</f>
        <v>0</v>
      </c>
      <c r="J31" s="3">
        <f>SUM($B$30:J$30)</f>
        <v>0</v>
      </c>
      <c r="K31" s="3">
        <f>SUM($B$30:K$30)</f>
        <v>0</v>
      </c>
      <c r="L31" s="3">
        <f>SUM($B$30:L$30)</f>
        <v>0</v>
      </c>
      <c r="M31" s="3">
        <f>SUM($B$30:M$30)</f>
        <v>0</v>
      </c>
      <c r="N31" s="7"/>
    </row>
    <row r="32" spans="1:29" x14ac:dyDescent="0.25">
      <c r="A32" s="5" t="s">
        <v>43</v>
      </c>
      <c r="B32" s="8">
        <f>IF(B30=0,1,B30/B29)</f>
        <v>1</v>
      </c>
      <c r="C32" s="8">
        <f t="shared" ref="C32:M32" si="6">IF(C30=0,1,C30/C29)</f>
        <v>1</v>
      </c>
      <c r="D32" s="8">
        <f t="shared" si="6"/>
        <v>1</v>
      </c>
      <c r="E32" s="8">
        <f t="shared" si="6"/>
        <v>1</v>
      </c>
      <c r="F32" s="8">
        <f t="shared" si="6"/>
        <v>1</v>
      </c>
      <c r="G32" s="8">
        <f t="shared" si="6"/>
        <v>1</v>
      </c>
      <c r="H32" s="8">
        <f t="shared" si="6"/>
        <v>1</v>
      </c>
      <c r="I32" s="8">
        <f t="shared" si="6"/>
        <v>1</v>
      </c>
      <c r="J32" s="8">
        <f t="shared" si="6"/>
        <v>1</v>
      </c>
      <c r="K32" s="8">
        <f t="shared" si="6"/>
        <v>1</v>
      </c>
      <c r="L32" s="8">
        <f t="shared" si="6"/>
        <v>1</v>
      </c>
      <c r="M32" s="8">
        <f t="shared" si="6"/>
        <v>1</v>
      </c>
      <c r="N32" s="8" t="str">
        <f t="shared" ref="N32" si="7">IF(N30=0,"100%",N30/N29)</f>
        <v>100%</v>
      </c>
    </row>
    <row r="33" spans="1:29" x14ac:dyDescent="0.25">
      <c r="A33" s="5" t="s">
        <v>44</v>
      </c>
      <c r="B33" s="8">
        <f>B32</f>
        <v>1</v>
      </c>
      <c r="C33" s="4">
        <f>SUM($B$32:C$32)/COUNT($B$32:C$32)</f>
        <v>1</v>
      </c>
      <c r="D33" s="4">
        <f>SUM($B$32:D$32)/COUNT($B$32:D$32)</f>
        <v>1</v>
      </c>
      <c r="E33" s="4">
        <f>SUM($B$32:E$32)/COUNT($B$32:E$32)</f>
        <v>1</v>
      </c>
      <c r="F33" s="4">
        <f>SUM($B$32:F$32)/COUNT($B$32:F$32)</f>
        <v>1</v>
      </c>
      <c r="G33" s="4">
        <f>SUM($B$32:G$32)/COUNT($B$32:G$32)</f>
        <v>1</v>
      </c>
      <c r="H33" s="4">
        <f>SUM($B$32:H$32)/COUNT($B$32:H$32)</f>
        <v>1</v>
      </c>
      <c r="I33" s="4">
        <f>SUM($B$32:I$32)/COUNT($B$32:I$32)</f>
        <v>1</v>
      </c>
      <c r="J33" s="4">
        <f>SUM($B$32:J$32)/COUNT($B$32:J$32)</f>
        <v>1</v>
      </c>
      <c r="K33" s="4">
        <f>SUM($B$32:K$32)/COUNT($B$32:K$32)</f>
        <v>1</v>
      </c>
      <c r="L33" s="4">
        <f>SUM($B$32:L$32)/COUNT($B$32:L$32)</f>
        <v>1</v>
      </c>
      <c r="M33" s="4">
        <f>SUM($B$32:M$32)/COUNT($B$32:M$32)</f>
        <v>1</v>
      </c>
      <c r="N33" s="4"/>
    </row>
    <row r="36" spans="1:29" x14ac:dyDescent="0.25">
      <c r="A36" s="6" t="s">
        <v>52</v>
      </c>
    </row>
    <row r="37" spans="1:29" x14ac:dyDescent="0.25">
      <c r="A37" s="5" t="s">
        <v>54</v>
      </c>
      <c r="B37" s="5" t="s">
        <v>29</v>
      </c>
      <c r="C37" s="5" t="s">
        <v>30</v>
      </c>
      <c r="D37" s="5" t="s">
        <v>31</v>
      </c>
      <c r="E37" s="5" t="s">
        <v>32</v>
      </c>
      <c r="F37" s="5" t="s">
        <v>33</v>
      </c>
      <c r="G37" s="5" t="s">
        <v>34</v>
      </c>
      <c r="H37" s="5" t="s">
        <v>35</v>
      </c>
      <c r="I37" s="5" t="s">
        <v>36</v>
      </c>
      <c r="J37" s="5" t="s">
        <v>37</v>
      </c>
      <c r="K37" s="5" t="s">
        <v>38</v>
      </c>
      <c r="L37" s="5" t="s">
        <v>39</v>
      </c>
      <c r="M37" s="5" t="s">
        <v>40</v>
      </c>
      <c r="N37" s="5" t="s">
        <v>95</v>
      </c>
    </row>
    <row r="38" spans="1:29" x14ac:dyDescent="0.25">
      <c r="A38" s="5" t="s">
        <v>41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298">
        <f>SUM(B38:M38)</f>
        <v>0</v>
      </c>
    </row>
    <row r="39" spans="1:29" x14ac:dyDescent="0.25">
      <c r="A39" s="5" t="s">
        <v>42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298">
        <f>SUM(B39:M39)</f>
        <v>0</v>
      </c>
    </row>
    <row r="40" spans="1:29" ht="14.25" customHeight="1" x14ac:dyDescent="0.25">
      <c r="A40" s="5" t="s">
        <v>96</v>
      </c>
      <c r="B40" s="3">
        <f>B39</f>
        <v>0</v>
      </c>
      <c r="C40" s="3">
        <f>SUM($B$39:C$39)</f>
        <v>0</v>
      </c>
      <c r="D40" s="3">
        <f>SUM($B$39:D$39)</f>
        <v>0</v>
      </c>
      <c r="E40" s="3">
        <f>SUM($B$39:E$39)</f>
        <v>0</v>
      </c>
      <c r="F40" s="3">
        <f>SUM($B$39:F$39)</f>
        <v>0</v>
      </c>
      <c r="G40" s="3">
        <f>SUM($B$39:G$39)</f>
        <v>0</v>
      </c>
      <c r="H40" s="3">
        <f>SUM($B$39:H$39)</f>
        <v>0</v>
      </c>
      <c r="I40" s="3">
        <f>SUM($B$39:I$39)</f>
        <v>0</v>
      </c>
      <c r="J40" s="3">
        <f>SUM($B$39:J$39)</f>
        <v>0</v>
      </c>
      <c r="K40" s="3">
        <f>SUM($B$39:K$39)</f>
        <v>0</v>
      </c>
      <c r="L40" s="3">
        <f>SUM($B$39:L$39)</f>
        <v>0</v>
      </c>
      <c r="M40" s="3">
        <f>SUM($B$39:M$39)</f>
        <v>0</v>
      </c>
      <c r="N40" s="7"/>
    </row>
    <row r="41" spans="1:29" x14ac:dyDescent="0.25">
      <c r="A41" s="5" t="s">
        <v>43</v>
      </c>
      <c r="B41" s="8">
        <f>IF(B39=0,1,B39/B38)</f>
        <v>1</v>
      </c>
      <c r="C41" s="8">
        <f t="shared" ref="C41:M41" si="8">IF(C39=0,1,C39/C38)</f>
        <v>1</v>
      </c>
      <c r="D41" s="8">
        <f t="shared" si="8"/>
        <v>1</v>
      </c>
      <c r="E41" s="8">
        <f t="shared" si="8"/>
        <v>1</v>
      </c>
      <c r="F41" s="8">
        <f t="shared" si="8"/>
        <v>1</v>
      </c>
      <c r="G41" s="8">
        <f t="shared" si="8"/>
        <v>1</v>
      </c>
      <c r="H41" s="8">
        <f t="shared" si="8"/>
        <v>1</v>
      </c>
      <c r="I41" s="8">
        <f t="shared" si="8"/>
        <v>1</v>
      </c>
      <c r="J41" s="8">
        <f t="shared" si="8"/>
        <v>1</v>
      </c>
      <c r="K41" s="8">
        <f t="shared" si="8"/>
        <v>1</v>
      </c>
      <c r="L41" s="8">
        <f t="shared" si="8"/>
        <v>1</v>
      </c>
      <c r="M41" s="8">
        <f t="shared" si="8"/>
        <v>1</v>
      </c>
      <c r="N41" s="8" t="str">
        <f t="shared" ref="N41" si="9">IF(N39=0,"100%",N39/N38)</f>
        <v>100%</v>
      </c>
    </row>
    <row r="42" spans="1:29" x14ac:dyDescent="0.25">
      <c r="A42" s="5" t="s">
        <v>44</v>
      </c>
      <c r="B42" s="8">
        <f>B41</f>
        <v>1</v>
      </c>
      <c r="C42" s="4">
        <f>SUM($B$41:C$41)/COUNT($B$41:C$41)</f>
        <v>1</v>
      </c>
      <c r="D42" s="4">
        <f>SUM($B$41:D$41)/COUNT($B$41:D$41)</f>
        <v>1</v>
      </c>
      <c r="E42" s="4">
        <f>SUM($B$41:E$41)/COUNT($B$41:E$41)</f>
        <v>1</v>
      </c>
      <c r="F42" s="4">
        <f>SUM($B$41:F$41)/COUNT($B$41:F$41)</f>
        <v>1</v>
      </c>
      <c r="G42" s="4">
        <f>SUM($B$41:G$41)/COUNT($B$41:G$41)</f>
        <v>1</v>
      </c>
      <c r="H42" s="4">
        <f>SUM($B$41:H$41)/COUNT($B$41:H$41)</f>
        <v>1</v>
      </c>
      <c r="I42" s="4">
        <f>SUM($B$41:I$41)/COUNT($B$41:I$41)</f>
        <v>1</v>
      </c>
      <c r="J42" s="4">
        <f>SUM($B$41:J$41)/COUNT($B$41:J$41)</f>
        <v>1</v>
      </c>
      <c r="K42" s="4">
        <f>SUM($B$41:K$41)/COUNT($B$41:K$41)</f>
        <v>1</v>
      </c>
      <c r="L42" s="4">
        <f>SUM($B$41:L$41)/COUNT($B$41:L$41)</f>
        <v>1</v>
      </c>
      <c r="M42" s="4">
        <f>SUM($B$41:M$41)/COUNT($B$41:M$41)</f>
        <v>1</v>
      </c>
      <c r="N42" s="4"/>
    </row>
    <row r="43" spans="1:29" x14ac:dyDescent="0.25">
      <c r="A43" s="303"/>
      <c r="B43" s="304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</row>
    <row r="44" spans="1:29" x14ac:dyDescent="0.25">
      <c r="A44" s="303"/>
      <c r="B44" s="304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</row>
    <row r="45" spans="1:29" x14ac:dyDescent="0.25">
      <c r="A45" s="6" t="s">
        <v>52</v>
      </c>
    </row>
    <row r="46" spans="1:29" x14ac:dyDescent="0.25">
      <c r="A46" s="5" t="s">
        <v>288</v>
      </c>
      <c r="B46" s="5" t="s">
        <v>29</v>
      </c>
      <c r="C46" s="5" t="s">
        <v>30</v>
      </c>
      <c r="D46" s="5" t="s">
        <v>31</v>
      </c>
      <c r="E46" s="5" t="s">
        <v>32</v>
      </c>
      <c r="F46" s="5" t="s">
        <v>33</v>
      </c>
      <c r="G46" s="5" t="s">
        <v>34</v>
      </c>
      <c r="H46" s="5" t="s">
        <v>35</v>
      </c>
      <c r="I46" s="5" t="s">
        <v>36</v>
      </c>
      <c r="J46" s="5" t="s">
        <v>37</v>
      </c>
      <c r="K46" s="5" t="s">
        <v>38</v>
      </c>
      <c r="L46" s="5" t="s">
        <v>39</v>
      </c>
      <c r="M46" s="5" t="s">
        <v>40</v>
      </c>
      <c r="N46" s="5" t="s">
        <v>95</v>
      </c>
      <c r="P46" s="5" t="s">
        <v>237</v>
      </c>
      <c r="Q46" s="5" t="s">
        <v>29</v>
      </c>
      <c r="R46" s="5" t="s">
        <v>30</v>
      </c>
      <c r="S46" s="5" t="s">
        <v>31</v>
      </c>
      <c r="T46" s="5" t="s">
        <v>32</v>
      </c>
      <c r="U46" s="5" t="s">
        <v>33</v>
      </c>
      <c r="V46" s="5" t="s">
        <v>34</v>
      </c>
      <c r="W46" s="5" t="s">
        <v>35</v>
      </c>
      <c r="X46" s="5" t="s">
        <v>36</v>
      </c>
      <c r="Y46" s="5" t="s">
        <v>37</v>
      </c>
      <c r="Z46" s="5" t="s">
        <v>38</v>
      </c>
      <c r="AA46" s="5" t="s">
        <v>39</v>
      </c>
      <c r="AB46" s="5" t="s">
        <v>40</v>
      </c>
      <c r="AC46" s="5" t="s">
        <v>95</v>
      </c>
    </row>
    <row r="47" spans="1:29" x14ac:dyDescent="0.25">
      <c r="A47" s="5" t="s">
        <v>41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298">
        <f>SUM(B47:M47)</f>
        <v>0</v>
      </c>
      <c r="P47" s="5" t="s">
        <v>104</v>
      </c>
      <c r="Q47" s="298">
        <v>0</v>
      </c>
      <c r="R47" s="298">
        <v>0</v>
      </c>
      <c r="S47" s="298">
        <v>0</v>
      </c>
      <c r="T47" s="298">
        <v>0</v>
      </c>
      <c r="U47" s="298">
        <v>0</v>
      </c>
      <c r="V47" s="298">
        <v>0</v>
      </c>
      <c r="W47" s="298">
        <v>0</v>
      </c>
      <c r="X47" s="298">
        <v>0</v>
      </c>
      <c r="Y47" s="298">
        <v>0</v>
      </c>
      <c r="Z47" s="298">
        <v>0</v>
      </c>
      <c r="AA47" s="298">
        <v>0</v>
      </c>
      <c r="AB47" s="298">
        <v>0</v>
      </c>
      <c r="AC47" s="298">
        <f>AVERAGE(Q47:AB47)</f>
        <v>0</v>
      </c>
    </row>
    <row r="48" spans="1:29" x14ac:dyDescent="0.25">
      <c r="A48" s="5" t="s">
        <v>42</v>
      </c>
      <c r="B48" s="3">
        <f t="shared" ref="B48:M48" si="10">Q52</f>
        <v>0</v>
      </c>
      <c r="C48" s="3">
        <f t="shared" si="10"/>
        <v>0</v>
      </c>
      <c r="D48" s="3">
        <f t="shared" si="10"/>
        <v>0</v>
      </c>
      <c r="E48" s="3">
        <f t="shared" si="10"/>
        <v>0</v>
      </c>
      <c r="F48" s="3">
        <f t="shared" si="10"/>
        <v>0</v>
      </c>
      <c r="G48" s="3">
        <f t="shared" si="10"/>
        <v>0</v>
      </c>
      <c r="H48" s="3">
        <f t="shared" si="10"/>
        <v>0</v>
      </c>
      <c r="I48" s="3">
        <f t="shared" si="10"/>
        <v>0</v>
      </c>
      <c r="J48" s="3">
        <f t="shared" si="10"/>
        <v>0</v>
      </c>
      <c r="K48" s="3">
        <f t="shared" si="10"/>
        <v>0</v>
      </c>
      <c r="L48" s="3">
        <f t="shared" si="10"/>
        <v>0</v>
      </c>
      <c r="M48" s="3">
        <f t="shared" si="10"/>
        <v>0</v>
      </c>
      <c r="N48" s="298">
        <f>SUM(B48:M48)</f>
        <v>0</v>
      </c>
      <c r="P48" s="5" t="s">
        <v>105</v>
      </c>
      <c r="Q48" s="298">
        <v>0</v>
      </c>
      <c r="R48" s="298">
        <v>0</v>
      </c>
      <c r="S48" s="298">
        <v>0</v>
      </c>
      <c r="T48" s="298">
        <v>0</v>
      </c>
      <c r="U48" s="298">
        <v>0</v>
      </c>
      <c r="V48" s="298">
        <v>0</v>
      </c>
      <c r="W48" s="298">
        <v>0</v>
      </c>
      <c r="X48" s="298">
        <v>0</v>
      </c>
      <c r="Y48" s="298">
        <v>0</v>
      </c>
      <c r="Z48" s="298">
        <v>0</v>
      </c>
      <c r="AA48" s="298">
        <v>0</v>
      </c>
      <c r="AB48" s="298">
        <v>0</v>
      </c>
      <c r="AC48" s="298">
        <f t="shared" ref="AC48:AC52" si="11">AVERAGE(Q48:AB48)</f>
        <v>0</v>
      </c>
    </row>
    <row r="49" spans="1:29" ht="14.25" customHeight="1" x14ac:dyDescent="0.25">
      <c r="A49" s="5" t="s">
        <v>96</v>
      </c>
      <c r="B49" s="3">
        <f>B48</f>
        <v>0</v>
      </c>
      <c r="C49" s="3">
        <f>SUM($B$39:C$39)</f>
        <v>0</v>
      </c>
      <c r="D49" s="3">
        <f>SUM($B$39:D$39)</f>
        <v>0</v>
      </c>
      <c r="E49" s="3">
        <f>SUM($B$39:E$39)</f>
        <v>0</v>
      </c>
      <c r="F49" s="3">
        <f>SUM($B$39:F$39)</f>
        <v>0</v>
      </c>
      <c r="G49" s="3">
        <f>SUM($B$39:G$39)</f>
        <v>0</v>
      </c>
      <c r="H49" s="3">
        <f>SUM($B$39:H$39)</f>
        <v>0</v>
      </c>
      <c r="I49" s="3">
        <f>SUM($B$39:I$39)</f>
        <v>0</v>
      </c>
      <c r="J49" s="3">
        <f>SUM($B$39:J$39)</f>
        <v>0</v>
      </c>
      <c r="K49" s="3">
        <f>SUM($B$39:K$39)</f>
        <v>0</v>
      </c>
      <c r="L49" s="3">
        <f>SUM($B$39:L$39)</f>
        <v>0</v>
      </c>
      <c r="M49" s="3">
        <f>SUM($B$39:M$39)</f>
        <v>0</v>
      </c>
      <c r="N49" s="7"/>
      <c r="P49" s="5" t="s">
        <v>307</v>
      </c>
      <c r="Q49" s="298">
        <v>0</v>
      </c>
      <c r="R49" s="298">
        <v>0</v>
      </c>
      <c r="S49" s="298">
        <v>0</v>
      </c>
      <c r="T49" s="298">
        <v>0</v>
      </c>
      <c r="U49" s="298">
        <v>0</v>
      </c>
      <c r="V49" s="298">
        <v>0</v>
      </c>
      <c r="W49" s="298">
        <v>0</v>
      </c>
      <c r="X49" s="298">
        <v>0</v>
      </c>
      <c r="Y49" s="298">
        <v>0</v>
      </c>
      <c r="Z49" s="298">
        <v>0</v>
      </c>
      <c r="AA49" s="298">
        <v>0</v>
      </c>
      <c r="AB49" s="298">
        <v>0</v>
      </c>
      <c r="AC49" s="298">
        <f t="shared" si="11"/>
        <v>0</v>
      </c>
    </row>
    <row r="50" spans="1:29" x14ac:dyDescent="0.25">
      <c r="A50" s="5" t="s">
        <v>43</v>
      </c>
      <c r="B50" s="8">
        <f>IF(B48=0,1,B48/B47)</f>
        <v>1</v>
      </c>
      <c r="C50" s="8">
        <f t="shared" ref="C50:M50" si="12">IF(C48=0,1,C48/C47)</f>
        <v>1</v>
      </c>
      <c r="D50" s="8">
        <f t="shared" si="12"/>
        <v>1</v>
      </c>
      <c r="E50" s="8">
        <f t="shared" si="12"/>
        <v>1</v>
      </c>
      <c r="F50" s="8">
        <f t="shared" si="12"/>
        <v>1</v>
      </c>
      <c r="G50" s="8">
        <f t="shared" si="12"/>
        <v>1</v>
      </c>
      <c r="H50" s="8">
        <f t="shared" si="12"/>
        <v>1</v>
      </c>
      <c r="I50" s="8">
        <f t="shared" si="12"/>
        <v>1</v>
      </c>
      <c r="J50" s="8">
        <f t="shared" si="12"/>
        <v>1</v>
      </c>
      <c r="K50" s="8">
        <f t="shared" si="12"/>
        <v>1</v>
      </c>
      <c r="L50" s="8">
        <f t="shared" si="12"/>
        <v>1</v>
      </c>
      <c r="M50" s="8">
        <f t="shared" si="12"/>
        <v>1</v>
      </c>
      <c r="N50" s="8" t="str">
        <f t="shared" ref="N50" si="13">IF(N48=0,"100%",N48/N47)</f>
        <v>100%</v>
      </c>
      <c r="P50" s="5" t="s">
        <v>364</v>
      </c>
      <c r="Q50" s="298">
        <v>0</v>
      </c>
      <c r="R50" s="298">
        <v>0</v>
      </c>
      <c r="S50" s="298">
        <v>0</v>
      </c>
      <c r="T50" s="298">
        <v>0</v>
      </c>
      <c r="U50" s="298">
        <v>0</v>
      </c>
      <c r="V50" s="298">
        <v>0</v>
      </c>
      <c r="W50" s="298">
        <v>0</v>
      </c>
      <c r="X50" s="298">
        <v>0</v>
      </c>
      <c r="Y50" s="298">
        <v>0</v>
      </c>
      <c r="Z50" s="298">
        <v>0</v>
      </c>
      <c r="AA50" s="298">
        <v>0</v>
      </c>
      <c r="AB50" s="298">
        <v>0</v>
      </c>
      <c r="AC50" s="298">
        <f t="shared" si="11"/>
        <v>0</v>
      </c>
    </row>
    <row r="51" spans="1:29" x14ac:dyDescent="0.25">
      <c r="A51" s="5" t="s">
        <v>44</v>
      </c>
      <c r="B51" s="8">
        <f>B50</f>
        <v>1</v>
      </c>
      <c r="C51" s="4">
        <f>SUM($B$41:C$41)/COUNT($B$41:C$41)</f>
        <v>1</v>
      </c>
      <c r="D51" s="4">
        <f>SUM($B$41:D$41)/COUNT($B$41:D$41)</f>
        <v>1</v>
      </c>
      <c r="E51" s="4">
        <f>SUM($B$41:E$41)/COUNT($B$41:E$41)</f>
        <v>1</v>
      </c>
      <c r="F51" s="4">
        <f>SUM($B$41:F$41)/COUNT($B$41:F$41)</f>
        <v>1</v>
      </c>
      <c r="G51" s="4">
        <f>SUM($B$41:G$41)/COUNT($B$41:G$41)</f>
        <v>1</v>
      </c>
      <c r="H51" s="4">
        <f>SUM($B$41:H$41)/COUNT($B$41:H$41)</f>
        <v>1</v>
      </c>
      <c r="I51" s="4">
        <f>SUM($B$41:I$41)/COUNT($B$41:I$41)</f>
        <v>1</v>
      </c>
      <c r="J51" s="4">
        <f>SUM($B$41:J$41)/COUNT($B$41:J$41)</f>
        <v>1</v>
      </c>
      <c r="K51" s="4">
        <f>SUM($B$41:K$41)/COUNT($B$41:K$41)</f>
        <v>1</v>
      </c>
      <c r="L51" s="4">
        <f>SUM($B$41:L$41)/COUNT($B$41:L$41)</f>
        <v>1</v>
      </c>
      <c r="M51" s="4">
        <f>SUM($B$41:M$41)/COUNT($B$41:M$41)</f>
        <v>1</v>
      </c>
      <c r="N51" s="4"/>
      <c r="P51" s="5" t="s">
        <v>305</v>
      </c>
      <c r="Q51" s="298">
        <v>0</v>
      </c>
      <c r="R51" s="298">
        <v>0</v>
      </c>
      <c r="S51" s="298">
        <v>0</v>
      </c>
      <c r="T51" s="298">
        <v>0</v>
      </c>
      <c r="U51" s="298">
        <v>0</v>
      </c>
      <c r="V51" s="298">
        <v>0</v>
      </c>
      <c r="W51" s="298">
        <v>0</v>
      </c>
      <c r="X51" s="298">
        <v>0</v>
      </c>
      <c r="Y51" s="298">
        <v>0</v>
      </c>
      <c r="Z51" s="298">
        <v>0</v>
      </c>
      <c r="AA51" s="298">
        <v>0</v>
      </c>
      <c r="AB51" s="298">
        <v>0</v>
      </c>
      <c r="AC51" s="298">
        <f t="shared" si="11"/>
        <v>0</v>
      </c>
    </row>
    <row r="52" spans="1:29" x14ac:dyDescent="0.25">
      <c r="A52" s="303"/>
      <c r="B52" s="304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P52" s="5" t="s">
        <v>306</v>
      </c>
      <c r="Q52" s="311">
        <f t="shared" ref="Q52:AB52" si="14">AVERAGE(Q47:Q51)</f>
        <v>0</v>
      </c>
      <c r="R52" s="311">
        <f t="shared" si="14"/>
        <v>0</v>
      </c>
      <c r="S52" s="311">
        <f t="shared" si="14"/>
        <v>0</v>
      </c>
      <c r="T52" s="311">
        <f t="shared" si="14"/>
        <v>0</v>
      </c>
      <c r="U52" s="311">
        <f t="shared" si="14"/>
        <v>0</v>
      </c>
      <c r="V52" s="311">
        <f t="shared" si="14"/>
        <v>0</v>
      </c>
      <c r="W52" s="311">
        <f t="shared" si="14"/>
        <v>0</v>
      </c>
      <c r="X52" s="311">
        <f t="shared" si="14"/>
        <v>0</v>
      </c>
      <c r="Y52" s="311">
        <f t="shared" si="14"/>
        <v>0</v>
      </c>
      <c r="Z52" s="311">
        <f t="shared" si="14"/>
        <v>0</v>
      </c>
      <c r="AA52" s="311">
        <f t="shared" si="14"/>
        <v>0</v>
      </c>
      <c r="AB52" s="311">
        <f t="shared" si="14"/>
        <v>0</v>
      </c>
      <c r="AC52" s="311">
        <f t="shared" si="11"/>
        <v>0</v>
      </c>
    </row>
    <row r="53" spans="1:29" x14ac:dyDescent="0.25">
      <c r="A53" s="303"/>
      <c r="B53" s="304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</row>
    <row r="54" spans="1:29" x14ac:dyDescent="0.25">
      <c r="A54" s="6" t="s">
        <v>52</v>
      </c>
      <c r="B54">
        <v>1</v>
      </c>
    </row>
    <row r="55" spans="1:29" s="307" customFormat="1" ht="45" x14ac:dyDescent="0.25">
      <c r="A55" s="306" t="s">
        <v>289</v>
      </c>
      <c r="B55" s="284" t="s">
        <v>29</v>
      </c>
      <c r="C55" s="284" t="s">
        <v>30</v>
      </c>
      <c r="D55" s="284" t="s">
        <v>31</v>
      </c>
      <c r="E55" s="284" t="s">
        <v>32</v>
      </c>
      <c r="F55" s="284" t="s">
        <v>33</v>
      </c>
      <c r="G55" s="284" t="s">
        <v>34</v>
      </c>
      <c r="H55" s="284" t="s">
        <v>35</v>
      </c>
      <c r="I55" s="284" t="s">
        <v>36</v>
      </c>
      <c r="J55" s="284" t="s">
        <v>37</v>
      </c>
      <c r="K55" s="284" t="s">
        <v>38</v>
      </c>
      <c r="L55" s="284" t="s">
        <v>39</v>
      </c>
      <c r="M55" s="284" t="s">
        <v>40</v>
      </c>
      <c r="N55" s="284" t="s">
        <v>95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307" customFormat="1" ht="30" x14ac:dyDescent="0.25">
      <c r="A56" s="306" t="s">
        <v>291</v>
      </c>
      <c r="B56" s="312">
        <v>1</v>
      </c>
      <c r="C56" s="312">
        <v>2</v>
      </c>
      <c r="D56" s="312">
        <v>1</v>
      </c>
      <c r="E56" s="312">
        <v>1</v>
      </c>
      <c r="F56" s="312">
        <v>1</v>
      </c>
      <c r="G56" s="312">
        <v>2</v>
      </c>
      <c r="H56" s="312">
        <v>4</v>
      </c>
      <c r="I56" s="312">
        <v>3</v>
      </c>
      <c r="J56" s="312">
        <v>5</v>
      </c>
      <c r="K56" s="312">
        <v>6</v>
      </c>
      <c r="L56" s="312">
        <v>2</v>
      </c>
      <c r="M56" s="312">
        <v>7</v>
      </c>
      <c r="N56" s="312">
        <f>SUM(B56:M56)</f>
        <v>35</v>
      </c>
    </row>
    <row r="57" spans="1:29" x14ac:dyDescent="0.25">
      <c r="A57" s="5" t="s">
        <v>292</v>
      </c>
      <c r="B57" s="10">
        <f t="shared" ref="B57:M57" si="15">B56*B59</f>
        <v>14</v>
      </c>
      <c r="C57" s="10">
        <f t="shared" si="15"/>
        <v>28</v>
      </c>
      <c r="D57" s="10">
        <f t="shared" si="15"/>
        <v>14</v>
      </c>
      <c r="E57" s="10">
        <f t="shared" si="15"/>
        <v>14</v>
      </c>
      <c r="F57" s="10">
        <f t="shared" si="15"/>
        <v>14</v>
      </c>
      <c r="G57" s="10">
        <f t="shared" si="15"/>
        <v>28</v>
      </c>
      <c r="H57" s="10">
        <f t="shared" si="15"/>
        <v>56</v>
      </c>
      <c r="I57" s="10">
        <f t="shared" si="15"/>
        <v>42</v>
      </c>
      <c r="J57" s="10">
        <f t="shared" si="15"/>
        <v>70</v>
      </c>
      <c r="K57" s="10">
        <f t="shared" si="15"/>
        <v>84</v>
      </c>
      <c r="L57" s="10">
        <f t="shared" si="15"/>
        <v>28</v>
      </c>
      <c r="M57" s="10">
        <f t="shared" si="15"/>
        <v>98</v>
      </c>
      <c r="N57" s="10">
        <f>SUM(B57:M57)</f>
        <v>490</v>
      </c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</row>
    <row r="58" spans="1:29" x14ac:dyDescent="0.25">
      <c r="A58" s="5" t="s">
        <v>302</v>
      </c>
      <c r="B58" s="10">
        <v>14</v>
      </c>
      <c r="C58" s="10">
        <v>29</v>
      </c>
      <c r="D58" s="10">
        <v>13</v>
      </c>
      <c r="E58" s="10">
        <v>14</v>
      </c>
      <c r="F58" s="10">
        <v>14</v>
      </c>
      <c r="G58" s="10">
        <v>27</v>
      </c>
      <c r="H58" s="10">
        <v>55</v>
      </c>
      <c r="I58" s="10">
        <v>41</v>
      </c>
      <c r="J58" s="10">
        <v>70</v>
      </c>
      <c r="K58" s="10">
        <v>84</v>
      </c>
      <c r="L58" s="10">
        <v>28</v>
      </c>
      <c r="M58" s="10">
        <v>98</v>
      </c>
      <c r="N58" s="10">
        <f>SUM(B58:M58)</f>
        <v>487</v>
      </c>
    </row>
    <row r="59" spans="1:29" x14ac:dyDescent="0.25">
      <c r="A59" s="5" t="s">
        <v>290</v>
      </c>
      <c r="B59" s="10">
        <v>14</v>
      </c>
      <c r="C59" s="10">
        <v>14</v>
      </c>
      <c r="D59" s="10">
        <v>14</v>
      </c>
      <c r="E59" s="10">
        <v>14</v>
      </c>
      <c r="F59" s="10">
        <v>14</v>
      </c>
      <c r="G59" s="10">
        <v>14</v>
      </c>
      <c r="H59" s="10">
        <v>14</v>
      </c>
      <c r="I59" s="10">
        <v>14</v>
      </c>
      <c r="J59" s="10">
        <v>14</v>
      </c>
      <c r="K59" s="10">
        <v>14</v>
      </c>
      <c r="L59" s="10">
        <v>14</v>
      </c>
      <c r="M59" s="10">
        <v>14</v>
      </c>
      <c r="N59" s="10">
        <f>AVERAGE(B59:M59)</f>
        <v>14</v>
      </c>
    </row>
    <row r="60" spans="1:29" x14ac:dyDescent="0.25">
      <c r="A60" s="5" t="s">
        <v>303</v>
      </c>
      <c r="B60" s="10">
        <f t="shared" ref="B60:N60" si="16">B58/B56</f>
        <v>14</v>
      </c>
      <c r="C60" s="10">
        <f t="shared" si="16"/>
        <v>14.5</v>
      </c>
      <c r="D60" s="10">
        <f t="shared" si="16"/>
        <v>13</v>
      </c>
      <c r="E60" s="10">
        <f t="shared" si="16"/>
        <v>14</v>
      </c>
      <c r="F60" s="10">
        <f t="shared" si="16"/>
        <v>14</v>
      </c>
      <c r="G60" s="10">
        <f t="shared" si="16"/>
        <v>13.5</v>
      </c>
      <c r="H60" s="10">
        <f t="shared" si="16"/>
        <v>13.75</v>
      </c>
      <c r="I60" s="10">
        <f t="shared" si="16"/>
        <v>13.666666666666666</v>
      </c>
      <c r="J60" s="10">
        <f t="shared" si="16"/>
        <v>14</v>
      </c>
      <c r="K60" s="10">
        <f t="shared" si="16"/>
        <v>14</v>
      </c>
      <c r="L60" s="10">
        <f t="shared" si="16"/>
        <v>14</v>
      </c>
      <c r="M60" s="10">
        <f t="shared" si="16"/>
        <v>14</v>
      </c>
      <c r="N60" s="10">
        <f t="shared" si="16"/>
        <v>13.914285714285715</v>
      </c>
    </row>
    <row r="61" spans="1:29" x14ac:dyDescent="0.25">
      <c r="A61" s="5" t="s">
        <v>43</v>
      </c>
      <c r="B61" s="8">
        <f>B60/B59</f>
        <v>1</v>
      </c>
      <c r="C61" s="8">
        <f t="shared" ref="C61:M61" si="17">C60/C59</f>
        <v>1.0357142857142858</v>
      </c>
      <c r="D61" s="8">
        <f t="shared" si="17"/>
        <v>0.9285714285714286</v>
      </c>
      <c r="E61" s="8">
        <f t="shared" si="17"/>
        <v>1</v>
      </c>
      <c r="F61" s="8">
        <f t="shared" si="17"/>
        <v>1</v>
      </c>
      <c r="G61" s="8">
        <f t="shared" si="17"/>
        <v>0.9642857142857143</v>
      </c>
      <c r="H61" s="8">
        <f t="shared" si="17"/>
        <v>0.9821428571428571</v>
      </c>
      <c r="I61" s="8">
        <f t="shared" si="17"/>
        <v>0.97619047619047616</v>
      </c>
      <c r="J61" s="8">
        <f t="shared" si="17"/>
        <v>1</v>
      </c>
      <c r="K61" s="8">
        <f t="shared" si="17"/>
        <v>1</v>
      </c>
      <c r="L61" s="8">
        <f t="shared" si="17"/>
        <v>1</v>
      </c>
      <c r="M61" s="8">
        <f t="shared" si="17"/>
        <v>1</v>
      </c>
      <c r="N61" s="8">
        <f>N60/N59</f>
        <v>0.9938775510204082</v>
      </c>
    </row>
    <row r="62" spans="1:29" x14ac:dyDescent="0.25">
      <c r="A62" s="5" t="s">
        <v>44</v>
      </c>
      <c r="B62" s="8">
        <f>B58/B57</f>
        <v>1</v>
      </c>
      <c r="C62" s="4">
        <f>SUM($B$58:C$58)/SUM($B$57:C$57)</f>
        <v>1.0238095238095237</v>
      </c>
      <c r="D62" s="4">
        <f>SUM($B$58:D$58)/SUM($B$57:D$57)</f>
        <v>1</v>
      </c>
      <c r="E62" s="4">
        <f>SUM($B$58:E$58)/SUM($B$57:E$57)</f>
        <v>1</v>
      </c>
      <c r="F62" s="4">
        <f>SUM($B$58:F$58)/SUM($B$57:F$57)</f>
        <v>1</v>
      </c>
      <c r="G62" s="4">
        <f>SUM($B$58:G$58)/SUM($B$57:G$57)</f>
        <v>0.9910714285714286</v>
      </c>
      <c r="H62" s="4">
        <f>SUM($B$58:H$58)/SUM($B$57:H$57)</f>
        <v>0.98809523809523814</v>
      </c>
      <c r="I62" s="4">
        <f>SUM($B$58:I$58)/SUM($B$57:I$57)</f>
        <v>0.98571428571428577</v>
      </c>
      <c r="J62" s="4">
        <f>SUM($B$58:J$58)/SUM($B$57:J$57)</f>
        <v>0.98928571428571432</v>
      </c>
      <c r="K62" s="4">
        <f>SUM($B$58:K$58)/SUM($B$57:K$57)</f>
        <v>0.99175824175824179</v>
      </c>
      <c r="L62" s="4">
        <f>SUM($B$58:L$58)/SUM($B$57:L$57)</f>
        <v>0.99234693877551017</v>
      </c>
      <c r="M62" s="4">
        <f>SUM($B$58:M$58)/SUM($B$57:M$57)</f>
        <v>0.9938775510204082</v>
      </c>
      <c r="N62" s="4"/>
    </row>
    <row r="63" spans="1:29" x14ac:dyDescent="0.25">
      <c r="A63" s="303"/>
      <c r="B63" s="304"/>
      <c r="C63" s="308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</row>
    <row r="64" spans="1:29" x14ac:dyDescent="0.25">
      <c r="A64" s="303"/>
      <c r="B64" s="304"/>
      <c r="C64" s="308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</row>
    <row r="65" spans="1:14" x14ac:dyDescent="0.25">
      <c r="A65" s="6" t="s">
        <v>53</v>
      </c>
    </row>
    <row r="66" spans="1:14" x14ac:dyDescent="0.25">
      <c r="A66" s="5" t="s">
        <v>51</v>
      </c>
      <c r="B66" s="5" t="s">
        <v>29</v>
      </c>
      <c r="C66" s="5" t="s">
        <v>30</v>
      </c>
      <c r="D66" s="5" t="s">
        <v>31</v>
      </c>
      <c r="E66" s="5" t="s">
        <v>32</v>
      </c>
      <c r="F66" s="5" t="s">
        <v>33</v>
      </c>
      <c r="G66" s="5" t="s">
        <v>34</v>
      </c>
      <c r="H66" s="5" t="s">
        <v>35</v>
      </c>
      <c r="I66" s="5" t="s">
        <v>36</v>
      </c>
      <c r="J66" s="5" t="s">
        <v>37</v>
      </c>
      <c r="K66" s="5" t="s">
        <v>38</v>
      </c>
      <c r="L66" s="5" t="s">
        <v>39</v>
      </c>
      <c r="M66" s="5" t="s">
        <v>40</v>
      </c>
      <c r="N66" s="5" t="s">
        <v>95</v>
      </c>
    </row>
    <row r="67" spans="1:14" x14ac:dyDescent="0.25">
      <c r="A67" s="5" t="s">
        <v>294</v>
      </c>
      <c r="B67" s="332">
        <v>100</v>
      </c>
      <c r="C67" s="332">
        <v>120</v>
      </c>
      <c r="D67" s="332">
        <v>130</v>
      </c>
      <c r="E67" s="332">
        <v>100</v>
      </c>
      <c r="F67" s="332">
        <v>110</v>
      </c>
      <c r="G67" s="332">
        <v>100</v>
      </c>
      <c r="H67" s="332">
        <v>90</v>
      </c>
      <c r="I67" s="332">
        <v>125</v>
      </c>
      <c r="J67" s="332">
        <v>150</v>
      </c>
      <c r="K67" s="332">
        <v>200</v>
      </c>
      <c r="L67" s="332">
        <v>90</v>
      </c>
      <c r="M67" s="332">
        <v>80</v>
      </c>
      <c r="N67" s="332">
        <f>SUM(B67:M67)</f>
        <v>1395</v>
      </c>
    </row>
    <row r="68" spans="1:14" x14ac:dyDescent="0.25">
      <c r="A68" s="5" t="s">
        <v>293</v>
      </c>
      <c r="B68" s="332">
        <v>55000</v>
      </c>
      <c r="C68" s="332">
        <v>61600</v>
      </c>
      <c r="D68" s="332">
        <v>55000</v>
      </c>
      <c r="E68" s="332">
        <v>55000</v>
      </c>
      <c r="F68" s="332">
        <v>55000</v>
      </c>
      <c r="G68" s="332">
        <v>55000</v>
      </c>
      <c r="H68" s="332">
        <v>55000</v>
      </c>
      <c r="I68" s="332">
        <v>55000</v>
      </c>
      <c r="J68" s="332">
        <v>55000</v>
      </c>
      <c r="K68" s="332">
        <v>55000</v>
      </c>
      <c r="L68" s="332">
        <v>55000</v>
      </c>
      <c r="M68" s="332">
        <v>55000</v>
      </c>
      <c r="N68" s="332">
        <f>SUM(B68:M68)</f>
        <v>666600</v>
      </c>
    </row>
    <row r="69" spans="1:14" x14ac:dyDescent="0.25">
      <c r="A69" s="5" t="s">
        <v>41</v>
      </c>
      <c r="B69" s="293">
        <v>2E-3</v>
      </c>
      <c r="C69" s="293">
        <v>2E-3</v>
      </c>
      <c r="D69" s="293">
        <v>2E-3</v>
      </c>
      <c r="E69" s="293">
        <v>2E-3</v>
      </c>
      <c r="F69" s="293">
        <v>2E-3</v>
      </c>
      <c r="G69" s="293">
        <v>2E-3</v>
      </c>
      <c r="H69" s="293">
        <v>2E-3</v>
      </c>
      <c r="I69" s="293">
        <v>2E-3</v>
      </c>
      <c r="J69" s="293">
        <v>2E-3</v>
      </c>
      <c r="K69" s="293">
        <v>2E-3</v>
      </c>
      <c r="L69" s="293">
        <v>2E-3</v>
      </c>
      <c r="M69" s="293">
        <v>2E-3</v>
      </c>
      <c r="N69" s="293">
        <f>AVERAGE(B69:M69)</f>
        <v>2.0000000000000005E-3</v>
      </c>
    </row>
    <row r="70" spans="1:14" x14ac:dyDescent="0.25">
      <c r="A70" s="5" t="s">
        <v>42</v>
      </c>
      <c r="B70" s="293">
        <f>B67/B68</f>
        <v>1.8181818181818182E-3</v>
      </c>
      <c r="C70" s="293">
        <f t="shared" ref="C70:M70" si="18">C67/C68</f>
        <v>1.9480519480519481E-3</v>
      </c>
      <c r="D70" s="293">
        <f t="shared" si="18"/>
        <v>2.3636363636363638E-3</v>
      </c>
      <c r="E70" s="293">
        <f t="shared" si="18"/>
        <v>1.8181818181818182E-3</v>
      </c>
      <c r="F70" s="293">
        <f t="shared" si="18"/>
        <v>2E-3</v>
      </c>
      <c r="G70" s="293">
        <f t="shared" si="18"/>
        <v>1.8181818181818182E-3</v>
      </c>
      <c r="H70" s="293">
        <f t="shared" si="18"/>
        <v>1.6363636363636363E-3</v>
      </c>
      <c r="I70" s="293">
        <f t="shared" si="18"/>
        <v>2.2727272727272726E-3</v>
      </c>
      <c r="J70" s="293">
        <f t="shared" si="18"/>
        <v>2.7272727272727275E-3</v>
      </c>
      <c r="K70" s="293">
        <f t="shared" si="18"/>
        <v>3.6363636363636364E-3</v>
      </c>
      <c r="L70" s="293">
        <f t="shared" si="18"/>
        <v>1.6363636363636363E-3</v>
      </c>
      <c r="M70" s="293">
        <f t="shared" si="18"/>
        <v>1.4545454545454545E-3</v>
      </c>
      <c r="N70" s="293">
        <f>AVERAGE(B70:M70)</f>
        <v>2.0941558441558441E-3</v>
      </c>
    </row>
    <row r="71" spans="1:14" x14ac:dyDescent="0.25">
      <c r="A71" s="5" t="s">
        <v>43</v>
      </c>
      <c r="B71" s="4">
        <f>B69/B70</f>
        <v>1.1000000000000001</v>
      </c>
      <c r="C71" s="4">
        <f t="shared" ref="C71:N71" si="19">C69/C70</f>
        <v>1.0266666666666666</v>
      </c>
      <c r="D71" s="4">
        <f t="shared" si="19"/>
        <v>0.84615384615384615</v>
      </c>
      <c r="E71" s="4">
        <f t="shared" si="19"/>
        <v>1.1000000000000001</v>
      </c>
      <c r="F71" s="4">
        <f t="shared" si="19"/>
        <v>1</v>
      </c>
      <c r="G71" s="4">
        <f t="shared" si="19"/>
        <v>1.1000000000000001</v>
      </c>
      <c r="H71" s="4">
        <f t="shared" si="19"/>
        <v>1.2222222222222223</v>
      </c>
      <c r="I71" s="4">
        <f t="shared" si="19"/>
        <v>0.88000000000000012</v>
      </c>
      <c r="J71" s="4">
        <f t="shared" si="19"/>
        <v>0.73333333333333328</v>
      </c>
      <c r="K71" s="4">
        <f t="shared" si="19"/>
        <v>0.55000000000000004</v>
      </c>
      <c r="L71" s="4">
        <f t="shared" si="19"/>
        <v>1.2222222222222223</v>
      </c>
      <c r="M71" s="4">
        <f t="shared" si="19"/>
        <v>1.3750000000000002</v>
      </c>
      <c r="N71" s="4">
        <f t="shared" si="19"/>
        <v>0.9550387596899228</v>
      </c>
    </row>
    <row r="72" spans="1:14" x14ac:dyDescent="0.25">
      <c r="A72" s="5" t="s">
        <v>44</v>
      </c>
      <c r="B72" s="4">
        <f>((SUM($B$69:B$69)-SUM($B$70:B$70))/(SUM($B$69:B$69)))+1</f>
        <v>1.0909090909090908</v>
      </c>
      <c r="C72" s="293">
        <f>SUM($B$67:C$67)/SUM($B$68:C$68)</f>
        <v>1.8867924528301887E-3</v>
      </c>
      <c r="D72" s="293">
        <f>SUM($B$67:D$67)/SUM($B$68:D$68)</f>
        <v>2.0396270396270395E-3</v>
      </c>
      <c r="E72" s="293">
        <f>SUM($B$67:E$67)/SUM($B$68:E$68)</f>
        <v>1.9858781994704323E-3</v>
      </c>
      <c r="F72" s="293">
        <f>SUM($B$67:F$67)/SUM($B$68:F$68)</f>
        <v>1.9886363636363634E-3</v>
      </c>
      <c r="G72" s="293">
        <f>SUM($B$67:G$67)/SUM($B$68:G$68)</f>
        <v>1.9607843137254902E-3</v>
      </c>
      <c r="H72" s="293">
        <f>SUM($B$67:H$67)/SUM($B$68:H$68)</f>
        <v>1.9152196118488254E-3</v>
      </c>
      <c r="I72" s="293">
        <f>SUM($B$67:I$67)/SUM($B$68:I$68)</f>
        <v>1.9592476489028211E-3</v>
      </c>
      <c r="J72" s="293">
        <f>SUM($B$67:J$67)/SUM($B$68:J$68)</f>
        <v>2.0434609250398724E-3</v>
      </c>
      <c r="K72" s="293">
        <f>SUM($B$67:K$67)/SUM($B$68:K$68)</f>
        <v>2.2008623787279913E-3</v>
      </c>
      <c r="L72" s="293">
        <f>SUM($B$67:L$67)/SUM($B$68:L$68)</f>
        <v>2.1500981033355133E-3</v>
      </c>
      <c r="M72" s="293">
        <f>SUM($B$67:M$67)/SUM($B$68:M$68)</f>
        <v>2.0927092709270927E-3</v>
      </c>
      <c r="N72" s="4"/>
    </row>
    <row r="75" spans="1:14" x14ac:dyDescent="0.25">
      <c r="A75" s="6" t="s">
        <v>56</v>
      </c>
    </row>
    <row r="76" spans="1:14" x14ac:dyDescent="0.25">
      <c r="A76" s="5" t="s">
        <v>55</v>
      </c>
      <c r="B76" s="5" t="s">
        <v>29</v>
      </c>
      <c r="C76" s="5" t="s">
        <v>30</v>
      </c>
      <c r="D76" s="5" t="s">
        <v>31</v>
      </c>
      <c r="E76" s="5" t="s">
        <v>32</v>
      </c>
      <c r="F76" s="5" t="s">
        <v>33</v>
      </c>
      <c r="G76" s="5" t="s">
        <v>34</v>
      </c>
      <c r="H76" s="5" t="s">
        <v>35</v>
      </c>
      <c r="I76" s="5" t="s">
        <v>36</v>
      </c>
      <c r="J76" s="5" t="s">
        <v>37</v>
      </c>
      <c r="K76" s="5" t="s">
        <v>38</v>
      </c>
      <c r="L76" s="5" t="s">
        <v>39</v>
      </c>
      <c r="M76" s="5" t="s">
        <v>40</v>
      </c>
      <c r="N76" s="5" t="s">
        <v>95</v>
      </c>
    </row>
    <row r="77" spans="1:14" x14ac:dyDescent="0.25">
      <c r="A77" s="5" t="s">
        <v>41</v>
      </c>
      <c r="B77" s="10">
        <v>3000</v>
      </c>
      <c r="C77" s="10">
        <v>3000</v>
      </c>
      <c r="D77" s="10">
        <v>3000</v>
      </c>
      <c r="E77" s="10">
        <v>3000</v>
      </c>
      <c r="F77" s="10">
        <v>3000</v>
      </c>
      <c r="G77" s="10">
        <v>3000</v>
      </c>
      <c r="H77" s="10">
        <v>3000</v>
      </c>
      <c r="I77" s="10">
        <v>3000</v>
      </c>
      <c r="J77" s="10">
        <v>3000</v>
      </c>
      <c r="K77" s="10">
        <v>3000</v>
      </c>
      <c r="L77" s="10">
        <v>3000</v>
      </c>
      <c r="M77" s="10">
        <v>3000</v>
      </c>
      <c r="N77" s="10">
        <f>AVERAGE(B77:M77)</f>
        <v>3000</v>
      </c>
    </row>
    <row r="78" spans="1:14" x14ac:dyDescent="0.25">
      <c r="A78" s="5" t="s">
        <v>42</v>
      </c>
      <c r="B78" s="10">
        <v>2700</v>
      </c>
      <c r="C78" s="10">
        <v>2500</v>
      </c>
      <c r="D78" s="10">
        <v>2800</v>
      </c>
      <c r="E78" s="10">
        <v>2750</v>
      </c>
      <c r="F78" s="10">
        <v>2400</v>
      </c>
      <c r="G78" s="10">
        <v>2700</v>
      </c>
      <c r="H78" s="10">
        <v>2850</v>
      </c>
      <c r="I78" s="10">
        <v>2700</v>
      </c>
      <c r="J78" s="10">
        <v>2000</v>
      </c>
      <c r="K78" s="10">
        <v>2900</v>
      </c>
      <c r="L78" s="10">
        <v>3100</v>
      </c>
      <c r="M78" s="10">
        <v>2700</v>
      </c>
      <c r="N78" s="10">
        <f>AVERAGE(B78:M78)</f>
        <v>2675</v>
      </c>
    </row>
    <row r="79" spans="1:14" x14ac:dyDescent="0.25">
      <c r="A79" s="5" t="s">
        <v>96</v>
      </c>
      <c r="B79" s="10">
        <f>B78</f>
        <v>2700</v>
      </c>
      <c r="C79" s="10">
        <f>SUM($B$78:C$78)/COUNT($B$78:C$78)</f>
        <v>2600</v>
      </c>
      <c r="D79" s="10">
        <f>SUM($B$78:D$78)/COUNT($B$78:D$78)</f>
        <v>2666.6666666666665</v>
      </c>
      <c r="E79" s="10">
        <f>SUM($B$78:E$78)/COUNT($B$78:E$78)</f>
        <v>2687.5</v>
      </c>
      <c r="F79" s="10">
        <f>SUM($B$78:F$78)/COUNT($B$78:F$78)</f>
        <v>2630</v>
      </c>
      <c r="G79" s="10">
        <f>SUM($B$78:G$78)/COUNT($B$78:G$78)</f>
        <v>2641.6666666666665</v>
      </c>
      <c r="H79" s="10">
        <f>SUM($B$78:H$78)/COUNT($B$78:H$78)</f>
        <v>2671.4285714285716</v>
      </c>
      <c r="I79" s="10">
        <f>SUM($B$78:I$78)/COUNT($B$78:I$78)</f>
        <v>2675</v>
      </c>
      <c r="J79" s="10">
        <f>SUM($B$78:J$78)/COUNT($B$78:J$78)</f>
        <v>2600</v>
      </c>
      <c r="K79" s="10">
        <f>SUM($B$78:K$78)/COUNT($B$78:K$78)</f>
        <v>2630</v>
      </c>
      <c r="L79" s="10">
        <f>SUM($B$78:L$78)/COUNT($B$78:L$78)</f>
        <v>2672.7272727272725</v>
      </c>
      <c r="M79" s="10">
        <f>SUM($B$78:M$78)/COUNT($B$78:M$78)</f>
        <v>2675</v>
      </c>
      <c r="N79" s="10"/>
    </row>
    <row r="80" spans="1:14" x14ac:dyDescent="0.25">
      <c r="A80" s="5" t="s">
        <v>43</v>
      </c>
      <c r="B80" s="8">
        <f>B78/B77</f>
        <v>0.9</v>
      </c>
      <c r="C80" s="8">
        <f t="shared" ref="C80:M80" si="20">C78/C77</f>
        <v>0.83333333333333337</v>
      </c>
      <c r="D80" s="8">
        <f t="shared" si="20"/>
        <v>0.93333333333333335</v>
      </c>
      <c r="E80" s="8">
        <f t="shared" si="20"/>
        <v>0.91666666666666663</v>
      </c>
      <c r="F80" s="8">
        <f t="shared" si="20"/>
        <v>0.8</v>
      </c>
      <c r="G80" s="8">
        <f t="shared" si="20"/>
        <v>0.9</v>
      </c>
      <c r="H80" s="8">
        <f t="shared" si="20"/>
        <v>0.95</v>
      </c>
      <c r="I80" s="8">
        <f t="shared" si="20"/>
        <v>0.9</v>
      </c>
      <c r="J80" s="8">
        <f t="shared" si="20"/>
        <v>0.66666666666666663</v>
      </c>
      <c r="K80" s="8">
        <f t="shared" si="20"/>
        <v>0.96666666666666667</v>
      </c>
      <c r="L80" s="8">
        <f t="shared" si="20"/>
        <v>1.0333333333333334</v>
      </c>
      <c r="M80" s="8">
        <f t="shared" si="20"/>
        <v>0.9</v>
      </c>
      <c r="N80" s="8">
        <f>N78/N77</f>
        <v>0.89166666666666672</v>
      </c>
    </row>
    <row r="81" spans="1:29" x14ac:dyDescent="0.25">
      <c r="A81" s="5" t="s">
        <v>44</v>
      </c>
      <c r="B81" s="8">
        <f>B80</f>
        <v>0.9</v>
      </c>
      <c r="C81" s="4">
        <f>SUM($B$78:C$78)/SUM($B$77:C$77)</f>
        <v>0.8666666666666667</v>
      </c>
      <c r="D81" s="4">
        <f>SUM($B$78:D$78)/SUM($B$77:D$77)</f>
        <v>0.88888888888888884</v>
      </c>
      <c r="E81" s="4">
        <f>SUM($B$78:E$78)/SUM($B$77:E$77)</f>
        <v>0.89583333333333337</v>
      </c>
      <c r="F81" s="4">
        <f>SUM($B$78:F$78)/SUM($B$77:F$77)</f>
        <v>0.87666666666666671</v>
      </c>
      <c r="G81" s="4">
        <f>SUM($B$78:G$78)/SUM($B$77:G$77)</f>
        <v>0.88055555555555554</v>
      </c>
      <c r="H81" s="4">
        <f>SUM($B$78:H$78)/SUM($B$77:H$77)</f>
        <v>0.89047619047619042</v>
      </c>
      <c r="I81" s="4">
        <f>SUM($B$78:I$78)/SUM($B$77:I$77)</f>
        <v>0.89166666666666672</v>
      </c>
      <c r="J81" s="4">
        <f>SUM($B$78:J$78)/SUM($B$77:J$77)</f>
        <v>0.8666666666666667</v>
      </c>
      <c r="K81" s="4">
        <f>SUM($B$78:K$78)/SUM($B$77:K$77)</f>
        <v>0.87666666666666671</v>
      </c>
      <c r="L81" s="4">
        <f>SUM($B$78:L$78)/SUM($B$77:L$77)</f>
        <v>0.89090909090909087</v>
      </c>
      <c r="M81" s="4">
        <f>SUM($B$78:M$78)/SUM($B$77:M$77)</f>
        <v>0.89166666666666672</v>
      </c>
      <c r="N81" s="4"/>
    </row>
    <row r="84" spans="1:29" x14ac:dyDescent="0.25">
      <c r="A84" s="6" t="s">
        <v>298</v>
      </c>
    </row>
    <row r="85" spans="1:29" x14ac:dyDescent="0.25">
      <c r="A85" s="5" t="s">
        <v>297</v>
      </c>
      <c r="B85" s="5" t="s">
        <v>29</v>
      </c>
      <c r="C85" s="5" t="s">
        <v>30</v>
      </c>
      <c r="D85" s="5" t="s">
        <v>31</v>
      </c>
      <c r="E85" s="5" t="s">
        <v>32</v>
      </c>
      <c r="F85" s="5" t="s">
        <v>33</v>
      </c>
      <c r="G85" s="5" t="s">
        <v>34</v>
      </c>
      <c r="H85" s="5" t="s">
        <v>35</v>
      </c>
      <c r="I85" s="5" t="s">
        <v>36</v>
      </c>
      <c r="J85" s="5" t="s">
        <v>37</v>
      </c>
      <c r="K85" s="5" t="s">
        <v>38</v>
      </c>
      <c r="L85" s="5" t="s">
        <v>39</v>
      </c>
      <c r="M85" s="5" t="s">
        <v>40</v>
      </c>
      <c r="N85" s="5" t="s">
        <v>95</v>
      </c>
      <c r="P85" s="285" t="s">
        <v>237</v>
      </c>
      <c r="Q85" s="285" t="s">
        <v>29</v>
      </c>
      <c r="R85" s="285" t="s">
        <v>30</v>
      </c>
      <c r="S85" s="285" t="s">
        <v>31</v>
      </c>
      <c r="T85" s="285" t="s">
        <v>32</v>
      </c>
      <c r="U85" s="285" t="s">
        <v>33</v>
      </c>
      <c r="V85" s="285" t="s">
        <v>34</v>
      </c>
      <c r="W85" s="285" t="s">
        <v>35</v>
      </c>
      <c r="X85" s="285" t="s">
        <v>36</v>
      </c>
      <c r="Y85" s="285" t="s">
        <v>37</v>
      </c>
      <c r="Z85" s="285" t="s">
        <v>38</v>
      </c>
      <c r="AA85" s="285" t="s">
        <v>39</v>
      </c>
      <c r="AB85" s="285" t="s">
        <v>40</v>
      </c>
      <c r="AC85" s="285" t="s">
        <v>95</v>
      </c>
    </row>
    <row r="86" spans="1:29" x14ac:dyDescent="0.25">
      <c r="A86" s="5" t="s">
        <v>41</v>
      </c>
      <c r="B86" s="4">
        <v>0.75</v>
      </c>
      <c r="C86" s="4">
        <v>0.75</v>
      </c>
      <c r="D86" s="4">
        <v>0.75</v>
      </c>
      <c r="E86" s="4">
        <v>0.75</v>
      </c>
      <c r="F86" s="4">
        <v>0.75</v>
      </c>
      <c r="G86" s="4">
        <v>0.75</v>
      </c>
      <c r="H86" s="4">
        <v>0.75</v>
      </c>
      <c r="I86" s="4">
        <v>0.75</v>
      </c>
      <c r="J86" s="4">
        <v>0.75</v>
      </c>
      <c r="K86" s="4">
        <v>0.75</v>
      </c>
      <c r="L86" s="4">
        <v>0.75</v>
      </c>
      <c r="M86" s="4">
        <v>0.75</v>
      </c>
      <c r="N86" s="4">
        <f>AVERAGE(B86:M86)</f>
        <v>0.75</v>
      </c>
      <c r="P86" s="5" t="s">
        <v>104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f>AVERAGE(Q86:AB86)</f>
        <v>1</v>
      </c>
    </row>
    <row r="87" spans="1:29" x14ac:dyDescent="0.25">
      <c r="A87" s="5" t="s">
        <v>42</v>
      </c>
      <c r="B87" s="4">
        <f t="shared" ref="B87:M87" si="21">Q91</f>
        <v>1</v>
      </c>
      <c r="C87" s="4">
        <f t="shared" si="21"/>
        <v>1</v>
      </c>
      <c r="D87" s="4">
        <f t="shared" si="21"/>
        <v>1</v>
      </c>
      <c r="E87" s="4">
        <f t="shared" si="21"/>
        <v>1</v>
      </c>
      <c r="F87" s="4">
        <f t="shared" si="21"/>
        <v>1</v>
      </c>
      <c r="G87" s="4">
        <f t="shared" si="21"/>
        <v>1</v>
      </c>
      <c r="H87" s="4">
        <f t="shared" si="21"/>
        <v>1</v>
      </c>
      <c r="I87" s="4">
        <f t="shared" si="21"/>
        <v>1</v>
      </c>
      <c r="J87" s="4">
        <f t="shared" si="21"/>
        <v>1</v>
      </c>
      <c r="K87" s="4">
        <f t="shared" si="21"/>
        <v>1</v>
      </c>
      <c r="L87" s="4">
        <f t="shared" si="21"/>
        <v>1</v>
      </c>
      <c r="M87" s="4">
        <f t="shared" si="21"/>
        <v>1</v>
      </c>
      <c r="N87" s="4">
        <f>AVERAGE(B87:M87)</f>
        <v>1</v>
      </c>
      <c r="P87" s="5" t="s">
        <v>105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f t="shared" ref="AC87:AC90" si="22">AVERAGE(Q87:AB87)</f>
        <v>1</v>
      </c>
    </row>
    <row r="88" spans="1:29" x14ac:dyDescent="0.25">
      <c r="A88" s="5" t="s">
        <v>43</v>
      </c>
      <c r="B88" s="8">
        <f t="shared" ref="B88:N88" si="23">B87/B86</f>
        <v>1.3333333333333333</v>
      </c>
      <c r="C88" s="8">
        <f t="shared" si="23"/>
        <v>1.3333333333333333</v>
      </c>
      <c r="D88" s="8">
        <f t="shared" si="23"/>
        <v>1.3333333333333333</v>
      </c>
      <c r="E88" s="8">
        <f t="shared" si="23"/>
        <v>1.3333333333333333</v>
      </c>
      <c r="F88" s="8">
        <f t="shared" si="23"/>
        <v>1.3333333333333333</v>
      </c>
      <c r="G88" s="8">
        <f t="shared" si="23"/>
        <v>1.3333333333333333</v>
      </c>
      <c r="H88" s="8">
        <f t="shared" si="23"/>
        <v>1.3333333333333333</v>
      </c>
      <c r="I88" s="8">
        <f t="shared" si="23"/>
        <v>1.3333333333333333</v>
      </c>
      <c r="J88" s="8">
        <f t="shared" si="23"/>
        <v>1.3333333333333333</v>
      </c>
      <c r="K88" s="8">
        <f t="shared" si="23"/>
        <v>1.3333333333333333</v>
      </c>
      <c r="L88" s="8">
        <f t="shared" si="23"/>
        <v>1.3333333333333333</v>
      </c>
      <c r="M88" s="8">
        <f t="shared" si="23"/>
        <v>1.3333333333333333</v>
      </c>
      <c r="N88" s="8">
        <f t="shared" si="23"/>
        <v>1.3333333333333333</v>
      </c>
      <c r="P88" s="5" t="s">
        <v>307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f t="shared" si="22"/>
        <v>1</v>
      </c>
    </row>
    <row r="89" spans="1:29" x14ac:dyDescent="0.25">
      <c r="A89" s="5" t="s">
        <v>44</v>
      </c>
      <c r="B89" s="8">
        <f>B88</f>
        <v>1.3333333333333333</v>
      </c>
      <c r="C89" s="4">
        <f>SUM($B$87:C$87)/SUM($B$86:C$86)</f>
        <v>1.3333333333333333</v>
      </c>
      <c r="D89" s="4">
        <f>SUM($B$87:D$87)/SUM($B$86:D$86)</f>
        <v>1.3333333333333333</v>
      </c>
      <c r="E89" s="4">
        <f>SUM($B$87:E$87)/SUM($B$86:E$86)</f>
        <v>1.3333333333333333</v>
      </c>
      <c r="F89" s="4">
        <f>SUM($B$87:F$87)/SUM($B$86:F$86)</f>
        <v>1.3333333333333333</v>
      </c>
      <c r="G89" s="4">
        <f>SUM($B$87:G$87)/SUM($B$86:G$86)</f>
        <v>1.3333333333333333</v>
      </c>
      <c r="H89" s="4">
        <f>SUM($B$87:H$87)/SUM($B$86:H$86)</f>
        <v>1.3333333333333333</v>
      </c>
      <c r="I89" s="4">
        <f>SUM($B$87:I$87)/SUM($B$86:I$86)</f>
        <v>1.3333333333333333</v>
      </c>
      <c r="J89" s="4">
        <f>SUM($B$87:J$87)/SUM($B$86:J$86)</f>
        <v>1.3333333333333333</v>
      </c>
      <c r="K89" s="4">
        <f>SUM($B$87:K$87)/SUM($B$86:K$86)</f>
        <v>1.3333333333333333</v>
      </c>
      <c r="L89" s="4">
        <f>SUM($B$87:L$87)/SUM($B$86:L$86)</f>
        <v>1.3333333333333333</v>
      </c>
      <c r="M89" s="4">
        <f>SUM($B$87:M$87)/SUM($B$86:M$86)</f>
        <v>1.3333333333333333</v>
      </c>
      <c r="N89" s="4"/>
      <c r="P89" s="5" t="s">
        <v>364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f t="shared" ref="AC89" si="24">AVERAGE(Q89:AB89)</f>
        <v>1</v>
      </c>
    </row>
    <row r="90" spans="1:29" x14ac:dyDescent="0.25">
      <c r="A90" s="303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P90" s="5" t="s">
        <v>305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f t="shared" si="22"/>
        <v>1</v>
      </c>
    </row>
    <row r="91" spans="1:29" x14ac:dyDescent="0.25">
      <c r="P91" s="5" t="s">
        <v>306</v>
      </c>
      <c r="Q91" s="310">
        <f t="shared" ref="Q91:AC91" si="25">AVERAGE(Q86:Q90)</f>
        <v>1</v>
      </c>
      <c r="R91" s="310">
        <f t="shared" si="25"/>
        <v>1</v>
      </c>
      <c r="S91" s="310">
        <f t="shared" si="25"/>
        <v>1</v>
      </c>
      <c r="T91" s="310">
        <f t="shared" si="25"/>
        <v>1</v>
      </c>
      <c r="U91" s="310">
        <f t="shared" si="25"/>
        <v>1</v>
      </c>
      <c r="V91" s="310">
        <f t="shared" si="25"/>
        <v>1</v>
      </c>
      <c r="W91" s="310">
        <f t="shared" si="25"/>
        <v>1</v>
      </c>
      <c r="X91" s="310">
        <f t="shared" si="25"/>
        <v>1</v>
      </c>
      <c r="Y91" s="310">
        <f t="shared" si="25"/>
        <v>1</v>
      </c>
      <c r="Z91" s="310">
        <f t="shared" si="25"/>
        <v>1</v>
      </c>
      <c r="AA91" s="310">
        <f t="shared" si="25"/>
        <v>1</v>
      </c>
      <c r="AB91" s="310">
        <f t="shared" si="25"/>
        <v>1</v>
      </c>
      <c r="AC91" s="310">
        <f t="shared" si="25"/>
        <v>1</v>
      </c>
    </row>
    <row r="92" spans="1:29" x14ac:dyDescent="0.25">
      <c r="A92" s="6" t="s">
        <v>331</v>
      </c>
      <c r="B92" s="299" t="s">
        <v>304</v>
      </c>
      <c r="C92" s="299"/>
    </row>
    <row r="93" spans="1:29" x14ac:dyDescent="0.25">
      <c r="A93" s="283" t="s">
        <v>250</v>
      </c>
      <c r="B93" s="285" t="s">
        <v>29</v>
      </c>
      <c r="C93" s="285" t="s">
        <v>30</v>
      </c>
      <c r="D93" s="285" t="s">
        <v>31</v>
      </c>
      <c r="E93" s="285" t="s">
        <v>32</v>
      </c>
      <c r="F93" s="285" t="s">
        <v>33</v>
      </c>
      <c r="G93" s="285" t="s">
        <v>34</v>
      </c>
      <c r="H93" s="285" t="s">
        <v>35</v>
      </c>
      <c r="I93" s="285" t="s">
        <v>36</v>
      </c>
      <c r="J93" s="285" t="s">
        <v>37</v>
      </c>
      <c r="K93" s="285" t="s">
        <v>38</v>
      </c>
      <c r="L93" s="285" t="s">
        <v>39</v>
      </c>
      <c r="M93" s="285" t="s">
        <v>40</v>
      </c>
      <c r="N93" s="285" t="s">
        <v>95</v>
      </c>
      <c r="P93" s="285" t="s">
        <v>237</v>
      </c>
      <c r="Q93" s="285" t="s">
        <v>29</v>
      </c>
      <c r="R93" s="285" t="s">
        <v>30</v>
      </c>
      <c r="S93" s="285" t="s">
        <v>31</v>
      </c>
      <c r="T93" s="285" t="s">
        <v>32</v>
      </c>
      <c r="U93" s="285" t="s">
        <v>33</v>
      </c>
      <c r="V93" s="285" t="s">
        <v>34</v>
      </c>
      <c r="W93" s="285" t="s">
        <v>35</v>
      </c>
      <c r="X93" s="285" t="s">
        <v>36</v>
      </c>
      <c r="Y93" s="285" t="s">
        <v>37</v>
      </c>
      <c r="Z93" s="285" t="s">
        <v>38</v>
      </c>
      <c r="AA93" s="285" t="s">
        <v>39</v>
      </c>
      <c r="AB93" s="285" t="s">
        <v>40</v>
      </c>
      <c r="AC93" s="285" t="s">
        <v>95</v>
      </c>
    </row>
    <row r="94" spans="1:29" x14ac:dyDescent="0.25">
      <c r="A94" s="5" t="s">
        <v>41</v>
      </c>
      <c r="B94" s="298">
        <v>0</v>
      </c>
      <c r="C94" s="298">
        <v>0</v>
      </c>
      <c r="D94" s="298">
        <v>0</v>
      </c>
      <c r="E94" s="298">
        <v>0</v>
      </c>
      <c r="F94" s="298">
        <v>0</v>
      </c>
      <c r="G94" s="298">
        <v>0</v>
      </c>
      <c r="H94" s="298">
        <v>0</v>
      </c>
      <c r="I94" s="298">
        <v>0</v>
      </c>
      <c r="J94" s="298">
        <v>0</v>
      </c>
      <c r="K94" s="298">
        <v>0</v>
      </c>
      <c r="L94" s="298">
        <v>0</v>
      </c>
      <c r="M94" s="298">
        <v>0</v>
      </c>
      <c r="N94" s="298">
        <f>SUM(B94:M94)</f>
        <v>0</v>
      </c>
      <c r="P94" s="5" t="s">
        <v>104</v>
      </c>
      <c r="Q94" s="298">
        <v>0</v>
      </c>
      <c r="R94" s="298">
        <v>0</v>
      </c>
      <c r="S94" s="298">
        <v>0</v>
      </c>
      <c r="T94" s="298">
        <v>0</v>
      </c>
      <c r="U94" s="298">
        <v>0</v>
      </c>
      <c r="V94" s="298">
        <v>0</v>
      </c>
      <c r="W94" s="298">
        <v>0</v>
      </c>
      <c r="X94" s="298">
        <v>0</v>
      </c>
      <c r="Y94" s="298">
        <v>0</v>
      </c>
      <c r="Z94" s="298">
        <v>0</v>
      </c>
      <c r="AA94" s="298">
        <v>0</v>
      </c>
      <c r="AB94" s="298">
        <v>0</v>
      </c>
      <c r="AC94" s="298">
        <f>AVERAGE(Q94:AB94)</f>
        <v>0</v>
      </c>
    </row>
    <row r="95" spans="1:29" x14ac:dyDescent="0.25">
      <c r="A95" s="5" t="s">
        <v>42</v>
      </c>
      <c r="B95" s="298">
        <f t="shared" ref="B95:M95" si="26">Q99</f>
        <v>0</v>
      </c>
      <c r="C95" s="298">
        <f t="shared" si="26"/>
        <v>0</v>
      </c>
      <c r="D95" s="298">
        <f t="shared" si="26"/>
        <v>0</v>
      </c>
      <c r="E95" s="298">
        <f t="shared" si="26"/>
        <v>0</v>
      </c>
      <c r="F95" s="298">
        <f t="shared" si="26"/>
        <v>0</v>
      </c>
      <c r="G95" s="298">
        <f t="shared" si="26"/>
        <v>0</v>
      </c>
      <c r="H95" s="298">
        <f t="shared" si="26"/>
        <v>0</v>
      </c>
      <c r="I95" s="298">
        <f t="shared" si="26"/>
        <v>0</v>
      </c>
      <c r="J95" s="298">
        <f t="shared" si="26"/>
        <v>0</v>
      </c>
      <c r="K95" s="298">
        <f t="shared" si="26"/>
        <v>0</v>
      </c>
      <c r="L95" s="298">
        <f t="shared" si="26"/>
        <v>0</v>
      </c>
      <c r="M95" s="298">
        <f t="shared" si="26"/>
        <v>0</v>
      </c>
      <c r="N95" s="298">
        <f>SUM(B95:M95)</f>
        <v>0</v>
      </c>
      <c r="P95" s="5" t="s">
        <v>105</v>
      </c>
      <c r="Q95" s="298">
        <v>0</v>
      </c>
      <c r="R95" s="298">
        <v>0</v>
      </c>
      <c r="S95" s="298">
        <v>0</v>
      </c>
      <c r="T95" s="298">
        <v>0</v>
      </c>
      <c r="U95" s="298">
        <v>0</v>
      </c>
      <c r="V95" s="298">
        <v>0</v>
      </c>
      <c r="W95" s="298">
        <v>0</v>
      </c>
      <c r="X95" s="298">
        <v>0</v>
      </c>
      <c r="Y95" s="298">
        <v>0</v>
      </c>
      <c r="Z95" s="298">
        <v>0</v>
      </c>
      <c r="AA95" s="298">
        <v>0</v>
      </c>
      <c r="AB95" s="298">
        <v>0</v>
      </c>
      <c r="AC95" s="298">
        <f t="shared" ref="AC95:AC98" si="27">AVERAGE(Q95:AB95)</f>
        <v>0</v>
      </c>
    </row>
    <row r="96" spans="1:29" x14ac:dyDescent="0.25">
      <c r="A96" s="5" t="s">
        <v>96</v>
      </c>
      <c r="B96" s="298">
        <f>B95</f>
        <v>0</v>
      </c>
      <c r="C96" s="298">
        <f>SUM($B$47:C$47)</f>
        <v>0</v>
      </c>
      <c r="D96" s="298">
        <f>SUM($B$47:D$47)</f>
        <v>0</v>
      </c>
      <c r="E96" s="298">
        <f>SUM($B$47:E$47)</f>
        <v>0</v>
      </c>
      <c r="F96" s="298">
        <f>SUM($B$47:F$47)</f>
        <v>0</v>
      </c>
      <c r="G96" s="298">
        <f>SUM($B$47:G$47)</f>
        <v>0</v>
      </c>
      <c r="H96" s="298">
        <f>SUM($B$47:H$47)</f>
        <v>0</v>
      </c>
      <c r="I96" s="298">
        <f>SUM($B$47:I$47)</f>
        <v>0</v>
      </c>
      <c r="J96" s="298">
        <f>SUM($B$47:J$47)</f>
        <v>0</v>
      </c>
      <c r="K96" s="298">
        <f>SUM($B$47:K$47)</f>
        <v>0</v>
      </c>
      <c r="L96" s="298">
        <f>SUM($B$47:L$47)</f>
        <v>0</v>
      </c>
      <c r="M96" s="298">
        <f>SUM($B$47:M$47)</f>
        <v>0</v>
      </c>
      <c r="N96" s="298"/>
      <c r="P96" s="5" t="s">
        <v>307</v>
      </c>
      <c r="Q96" s="298">
        <v>0</v>
      </c>
      <c r="R96" s="298">
        <v>0</v>
      </c>
      <c r="S96" s="298">
        <v>0</v>
      </c>
      <c r="T96" s="298">
        <v>0</v>
      </c>
      <c r="U96" s="298">
        <v>0</v>
      </c>
      <c r="V96" s="298">
        <v>0</v>
      </c>
      <c r="W96" s="298">
        <v>0</v>
      </c>
      <c r="X96" s="298">
        <v>0</v>
      </c>
      <c r="Y96" s="298">
        <v>0</v>
      </c>
      <c r="Z96" s="298">
        <v>0</v>
      </c>
      <c r="AA96" s="298">
        <v>0</v>
      </c>
      <c r="AB96" s="298">
        <v>0</v>
      </c>
      <c r="AC96" s="298">
        <f t="shared" si="27"/>
        <v>0</v>
      </c>
    </row>
    <row r="97" spans="1:29" x14ac:dyDescent="0.25">
      <c r="A97" s="5" t="s">
        <v>43</v>
      </c>
      <c r="B97" s="8">
        <f>IF(B95=0,1,B95/B94)</f>
        <v>1</v>
      </c>
      <c r="C97" s="8">
        <f t="shared" ref="C97:M97" si="28">IF(C95=0,1,C95/C94)</f>
        <v>1</v>
      </c>
      <c r="D97" s="8">
        <f t="shared" si="28"/>
        <v>1</v>
      </c>
      <c r="E97" s="8">
        <f t="shared" si="28"/>
        <v>1</v>
      </c>
      <c r="F97" s="8">
        <f t="shared" si="28"/>
        <v>1</v>
      </c>
      <c r="G97" s="8">
        <f t="shared" si="28"/>
        <v>1</v>
      </c>
      <c r="H97" s="8">
        <f t="shared" si="28"/>
        <v>1</v>
      </c>
      <c r="I97" s="8">
        <f t="shared" si="28"/>
        <v>1</v>
      </c>
      <c r="J97" s="8">
        <f t="shared" si="28"/>
        <v>1</v>
      </c>
      <c r="K97" s="8">
        <f t="shared" si="28"/>
        <v>1</v>
      </c>
      <c r="L97" s="8">
        <f t="shared" si="28"/>
        <v>1</v>
      </c>
      <c r="M97" s="8">
        <f t="shared" si="28"/>
        <v>1</v>
      </c>
      <c r="N97" s="8" t="str">
        <f t="shared" ref="N97" si="29">IF(N95=0,"100%",N95/N94)</f>
        <v>100%</v>
      </c>
      <c r="P97" s="5" t="s">
        <v>364</v>
      </c>
      <c r="Q97" s="298">
        <v>0</v>
      </c>
      <c r="R97" s="298">
        <v>0</v>
      </c>
      <c r="S97" s="298">
        <v>0</v>
      </c>
      <c r="T97" s="298">
        <v>0</v>
      </c>
      <c r="U97" s="298">
        <v>0</v>
      </c>
      <c r="V97" s="298">
        <v>0</v>
      </c>
      <c r="W97" s="298">
        <v>0</v>
      </c>
      <c r="X97" s="298">
        <v>0</v>
      </c>
      <c r="Y97" s="298">
        <v>0</v>
      </c>
      <c r="Z97" s="298">
        <v>0</v>
      </c>
      <c r="AA97" s="298">
        <v>0</v>
      </c>
      <c r="AB97" s="298">
        <v>0</v>
      </c>
      <c r="AC97" s="298">
        <f t="shared" ref="AC97" si="30">AVERAGE(Q97:AB97)</f>
        <v>0</v>
      </c>
    </row>
    <row r="98" spans="1:29" x14ac:dyDescent="0.25">
      <c r="A98" s="5" t="s">
        <v>44</v>
      </c>
      <c r="B98" s="4">
        <f>B97</f>
        <v>1</v>
      </c>
      <c r="C98" s="4">
        <f>SUM($B$106:C$106)/COUNT($B$106:C$106)</f>
        <v>1</v>
      </c>
      <c r="D98" s="4">
        <f>SUM($B$106:D$106)/COUNT($B$106:D$106)</f>
        <v>1</v>
      </c>
      <c r="E98" s="4">
        <f>SUM($B$106:E$106)/COUNT($B$106:E$106)</f>
        <v>1</v>
      </c>
      <c r="F98" s="4">
        <f>SUM($B$106:F$106)/COUNT($B$106:F$106)</f>
        <v>1</v>
      </c>
      <c r="G98" s="4">
        <f>SUM($B$106:G$106)/COUNT($B$106:G$106)</f>
        <v>1</v>
      </c>
      <c r="H98" s="4">
        <f>SUM($B$106:H$106)/COUNT($B$106:H$106)</f>
        <v>1</v>
      </c>
      <c r="I98" s="4">
        <f>SUM($B$106:I$106)/COUNT($B$106:I$106)</f>
        <v>1</v>
      </c>
      <c r="J98" s="4">
        <f>SUM($B$106:J$106)/COUNT($B$106:J$106)</f>
        <v>1</v>
      </c>
      <c r="K98" s="4">
        <f>SUM($B$106:K$106)/COUNT($B$106:K$106)</f>
        <v>1</v>
      </c>
      <c r="L98" s="4">
        <f>SUM($B$106:L$106)/COUNT($B$106:L$106)</f>
        <v>1</v>
      </c>
      <c r="M98" s="4">
        <f>SUM($B$106:M$106)/COUNT($B$106:M$106)</f>
        <v>1</v>
      </c>
      <c r="N98" s="4"/>
      <c r="P98" s="5" t="s">
        <v>305</v>
      </c>
      <c r="Q98" s="298">
        <v>0</v>
      </c>
      <c r="R98" s="298">
        <v>0</v>
      </c>
      <c r="S98" s="298">
        <v>0</v>
      </c>
      <c r="T98" s="298">
        <v>0</v>
      </c>
      <c r="U98" s="298">
        <v>0</v>
      </c>
      <c r="V98" s="298">
        <v>0</v>
      </c>
      <c r="W98" s="298">
        <v>0</v>
      </c>
      <c r="X98" s="298">
        <v>0</v>
      </c>
      <c r="Y98" s="298">
        <v>0</v>
      </c>
      <c r="Z98" s="298">
        <v>0</v>
      </c>
      <c r="AA98" s="298">
        <v>0</v>
      </c>
      <c r="AB98" s="298">
        <v>0</v>
      </c>
      <c r="AC98" s="298">
        <f t="shared" si="27"/>
        <v>0</v>
      </c>
    </row>
    <row r="99" spans="1:29" x14ac:dyDescent="0.25">
      <c r="A99" s="303"/>
      <c r="B99" s="305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P99" s="5" t="s">
        <v>306</v>
      </c>
      <c r="Q99" s="311">
        <f t="shared" ref="Q99:AC99" si="31">SUM(Q94:Q98)</f>
        <v>0</v>
      </c>
      <c r="R99" s="311">
        <f t="shared" si="31"/>
        <v>0</v>
      </c>
      <c r="S99" s="311">
        <f t="shared" si="31"/>
        <v>0</v>
      </c>
      <c r="T99" s="311">
        <f t="shared" si="31"/>
        <v>0</v>
      </c>
      <c r="U99" s="311">
        <f t="shared" si="31"/>
        <v>0</v>
      </c>
      <c r="V99" s="311">
        <f t="shared" si="31"/>
        <v>0</v>
      </c>
      <c r="W99" s="311">
        <f t="shared" si="31"/>
        <v>0</v>
      </c>
      <c r="X99" s="311">
        <f t="shared" si="31"/>
        <v>0</v>
      </c>
      <c r="Y99" s="311">
        <f t="shared" si="31"/>
        <v>0</v>
      </c>
      <c r="Z99" s="311">
        <f t="shared" si="31"/>
        <v>0</v>
      </c>
      <c r="AA99" s="311">
        <f t="shared" si="31"/>
        <v>0</v>
      </c>
      <c r="AB99" s="311">
        <f t="shared" si="31"/>
        <v>0</v>
      </c>
      <c r="AC99" s="311">
        <f t="shared" si="31"/>
        <v>0</v>
      </c>
    </row>
    <row r="101" spans="1:29" x14ac:dyDescent="0.25">
      <c r="A101" s="6" t="s">
        <v>218</v>
      </c>
      <c r="B101" s="299" t="s">
        <v>240</v>
      </c>
      <c r="C101" s="299"/>
    </row>
    <row r="102" spans="1:29" ht="60" x14ac:dyDescent="0.25">
      <c r="A102" s="283" t="s">
        <v>217</v>
      </c>
      <c r="B102" s="285" t="s">
        <v>29</v>
      </c>
      <c r="C102" s="285" t="s">
        <v>30</v>
      </c>
      <c r="D102" s="285" t="s">
        <v>31</v>
      </c>
      <c r="E102" s="285" t="s">
        <v>32</v>
      </c>
      <c r="F102" s="285" t="s">
        <v>33</v>
      </c>
      <c r="G102" s="285" t="s">
        <v>34</v>
      </c>
      <c r="H102" s="285" t="s">
        <v>35</v>
      </c>
      <c r="I102" s="285" t="s">
        <v>36</v>
      </c>
      <c r="J102" s="285" t="s">
        <v>37</v>
      </c>
      <c r="K102" s="285" t="s">
        <v>38</v>
      </c>
      <c r="L102" s="285" t="s">
        <v>39</v>
      </c>
      <c r="M102" s="285" t="s">
        <v>40</v>
      </c>
      <c r="N102" s="285" t="s">
        <v>95</v>
      </c>
      <c r="P102" s="285" t="s">
        <v>237</v>
      </c>
      <c r="Q102" s="285" t="s">
        <v>29</v>
      </c>
      <c r="R102" s="285" t="s">
        <v>30</v>
      </c>
      <c r="S102" s="285" t="s">
        <v>31</v>
      </c>
      <c r="T102" s="285" t="s">
        <v>32</v>
      </c>
      <c r="U102" s="285" t="s">
        <v>33</v>
      </c>
      <c r="V102" s="285" t="s">
        <v>34</v>
      </c>
      <c r="W102" s="285" t="s">
        <v>35</v>
      </c>
      <c r="X102" s="285" t="s">
        <v>36</v>
      </c>
      <c r="Y102" s="285" t="s">
        <v>37</v>
      </c>
      <c r="Z102" s="285" t="s">
        <v>38</v>
      </c>
      <c r="AA102" s="285" t="s">
        <v>39</v>
      </c>
      <c r="AB102" s="285" t="s">
        <v>40</v>
      </c>
      <c r="AC102" s="285" t="s">
        <v>95</v>
      </c>
    </row>
    <row r="103" spans="1:29" x14ac:dyDescent="0.25">
      <c r="A103" s="5" t="s">
        <v>41</v>
      </c>
      <c r="B103" s="298">
        <v>0</v>
      </c>
      <c r="C103" s="298">
        <v>0</v>
      </c>
      <c r="D103" s="298">
        <v>0</v>
      </c>
      <c r="E103" s="298">
        <v>0</v>
      </c>
      <c r="F103" s="298">
        <v>0</v>
      </c>
      <c r="G103" s="298">
        <v>0</v>
      </c>
      <c r="H103" s="298">
        <v>0</v>
      </c>
      <c r="I103" s="298">
        <v>0</v>
      </c>
      <c r="J103" s="298">
        <v>0</v>
      </c>
      <c r="K103" s="298">
        <v>0</v>
      </c>
      <c r="L103" s="298">
        <v>0</v>
      </c>
      <c r="M103" s="298">
        <v>0</v>
      </c>
      <c r="N103" s="298">
        <f>SUM(B103:M103)</f>
        <v>0</v>
      </c>
      <c r="P103" s="5" t="s">
        <v>104</v>
      </c>
      <c r="Q103" s="298">
        <v>0</v>
      </c>
      <c r="R103" s="298">
        <v>0</v>
      </c>
      <c r="S103" s="298">
        <v>0</v>
      </c>
      <c r="T103" s="298">
        <v>0</v>
      </c>
      <c r="U103" s="298">
        <v>0</v>
      </c>
      <c r="V103" s="298">
        <v>0</v>
      </c>
      <c r="W103" s="298">
        <v>0</v>
      </c>
      <c r="X103" s="298">
        <v>0</v>
      </c>
      <c r="Y103" s="298">
        <v>0</v>
      </c>
      <c r="Z103" s="298">
        <v>0</v>
      </c>
      <c r="AA103" s="298">
        <v>0</v>
      </c>
      <c r="AB103" s="298">
        <v>0</v>
      </c>
      <c r="AC103" s="298">
        <f>AVERAGE(Q103:AB103)</f>
        <v>0</v>
      </c>
    </row>
    <row r="104" spans="1:29" x14ac:dyDescent="0.25">
      <c r="A104" s="5" t="s">
        <v>42</v>
      </c>
      <c r="B104" s="298">
        <f t="shared" ref="B104:M104" si="32">Q108</f>
        <v>0</v>
      </c>
      <c r="C104" s="298">
        <f t="shared" si="32"/>
        <v>0</v>
      </c>
      <c r="D104" s="298">
        <f t="shared" si="32"/>
        <v>0</v>
      </c>
      <c r="E104" s="298">
        <f t="shared" si="32"/>
        <v>0</v>
      </c>
      <c r="F104" s="298">
        <f t="shared" si="32"/>
        <v>0</v>
      </c>
      <c r="G104" s="298">
        <f t="shared" si="32"/>
        <v>0</v>
      </c>
      <c r="H104" s="298">
        <f t="shared" si="32"/>
        <v>0</v>
      </c>
      <c r="I104" s="298">
        <f t="shared" si="32"/>
        <v>0</v>
      </c>
      <c r="J104" s="298">
        <f t="shared" si="32"/>
        <v>0</v>
      </c>
      <c r="K104" s="298">
        <f t="shared" si="32"/>
        <v>0</v>
      </c>
      <c r="L104" s="298">
        <f t="shared" si="32"/>
        <v>0</v>
      </c>
      <c r="M104" s="298">
        <f t="shared" si="32"/>
        <v>0</v>
      </c>
      <c r="N104" s="298">
        <f>SUM(B104:M104)</f>
        <v>0</v>
      </c>
      <c r="P104" s="5" t="s">
        <v>105</v>
      </c>
      <c r="Q104" s="298">
        <v>0</v>
      </c>
      <c r="R104" s="298">
        <v>0</v>
      </c>
      <c r="S104" s="298">
        <v>0</v>
      </c>
      <c r="T104" s="298">
        <v>0</v>
      </c>
      <c r="U104" s="298">
        <v>0</v>
      </c>
      <c r="V104" s="298">
        <v>0</v>
      </c>
      <c r="W104" s="298">
        <v>0</v>
      </c>
      <c r="X104" s="298">
        <v>0</v>
      </c>
      <c r="Y104" s="298">
        <v>0</v>
      </c>
      <c r="Z104" s="298">
        <v>0</v>
      </c>
      <c r="AA104" s="298">
        <v>0</v>
      </c>
      <c r="AB104" s="298">
        <v>0</v>
      </c>
      <c r="AC104" s="298">
        <f t="shared" ref="AC104:AC107" si="33">AVERAGE(Q104:AB104)</f>
        <v>0</v>
      </c>
    </row>
    <row r="105" spans="1:29" x14ac:dyDescent="0.25">
      <c r="A105" s="5" t="s">
        <v>96</v>
      </c>
      <c r="B105" s="298">
        <f>B104</f>
        <v>0</v>
      </c>
      <c r="C105" s="298">
        <f>SUM($B$47:C$47)</f>
        <v>0</v>
      </c>
      <c r="D105" s="298">
        <f>SUM($B$47:D$47)</f>
        <v>0</v>
      </c>
      <c r="E105" s="298">
        <f>SUM($B$47:E$47)</f>
        <v>0</v>
      </c>
      <c r="F105" s="298">
        <f>SUM($B$47:F$47)</f>
        <v>0</v>
      </c>
      <c r="G105" s="298">
        <f>SUM($B$47:G$47)</f>
        <v>0</v>
      </c>
      <c r="H105" s="298">
        <f>SUM($B$47:H$47)</f>
        <v>0</v>
      </c>
      <c r="I105" s="298">
        <f>SUM($B$47:I$47)</f>
        <v>0</v>
      </c>
      <c r="J105" s="298">
        <f>SUM($B$47:J$47)</f>
        <v>0</v>
      </c>
      <c r="K105" s="298">
        <f>SUM($B$47:K$47)</f>
        <v>0</v>
      </c>
      <c r="L105" s="298">
        <f>SUM($B$47:L$47)</f>
        <v>0</v>
      </c>
      <c r="M105" s="298">
        <f>SUM($B$47:M$47)</f>
        <v>0</v>
      </c>
      <c r="N105" s="298"/>
      <c r="P105" s="5" t="s">
        <v>307</v>
      </c>
      <c r="Q105" s="298">
        <v>0</v>
      </c>
      <c r="R105" s="298">
        <v>0</v>
      </c>
      <c r="S105" s="298">
        <v>0</v>
      </c>
      <c r="T105" s="298">
        <v>0</v>
      </c>
      <c r="U105" s="298">
        <v>0</v>
      </c>
      <c r="V105" s="298">
        <v>0</v>
      </c>
      <c r="W105" s="298">
        <v>0</v>
      </c>
      <c r="X105" s="298">
        <v>0</v>
      </c>
      <c r="Y105" s="298">
        <v>0</v>
      </c>
      <c r="Z105" s="298">
        <v>0</v>
      </c>
      <c r="AA105" s="298">
        <v>0</v>
      </c>
      <c r="AB105" s="298">
        <v>0</v>
      </c>
      <c r="AC105" s="298">
        <f t="shared" si="33"/>
        <v>0</v>
      </c>
    </row>
    <row r="106" spans="1:29" x14ac:dyDescent="0.25">
      <c r="A106" s="5" t="s">
        <v>43</v>
      </c>
      <c r="B106" s="8">
        <f>IF(B104=0,1,B104/B103)</f>
        <v>1</v>
      </c>
      <c r="C106" s="8">
        <f t="shared" ref="C106:M106" si="34">IF(C104=0,1,C104/C103)</f>
        <v>1</v>
      </c>
      <c r="D106" s="8">
        <f t="shared" si="34"/>
        <v>1</v>
      </c>
      <c r="E106" s="8">
        <f t="shared" si="34"/>
        <v>1</v>
      </c>
      <c r="F106" s="8">
        <f t="shared" si="34"/>
        <v>1</v>
      </c>
      <c r="G106" s="8">
        <f t="shared" si="34"/>
        <v>1</v>
      </c>
      <c r="H106" s="8">
        <f t="shared" si="34"/>
        <v>1</v>
      </c>
      <c r="I106" s="8">
        <f t="shared" si="34"/>
        <v>1</v>
      </c>
      <c r="J106" s="8">
        <f t="shared" si="34"/>
        <v>1</v>
      </c>
      <c r="K106" s="8">
        <f t="shared" si="34"/>
        <v>1</v>
      </c>
      <c r="L106" s="8">
        <f t="shared" si="34"/>
        <v>1</v>
      </c>
      <c r="M106" s="8">
        <f t="shared" si="34"/>
        <v>1</v>
      </c>
      <c r="N106" s="8" t="str">
        <f t="shared" ref="N106" si="35">IF(N104=0,"100%",N104/N103)</f>
        <v>100%</v>
      </c>
      <c r="P106" s="5" t="s">
        <v>364</v>
      </c>
      <c r="Q106" s="298">
        <v>0</v>
      </c>
      <c r="R106" s="298">
        <v>0</v>
      </c>
      <c r="S106" s="298">
        <v>0</v>
      </c>
      <c r="T106" s="298">
        <v>0</v>
      </c>
      <c r="U106" s="298">
        <v>0</v>
      </c>
      <c r="V106" s="298">
        <v>0</v>
      </c>
      <c r="W106" s="298">
        <v>0</v>
      </c>
      <c r="X106" s="298">
        <v>0</v>
      </c>
      <c r="Y106" s="298">
        <v>0</v>
      </c>
      <c r="Z106" s="298">
        <v>0</v>
      </c>
      <c r="AA106" s="298">
        <v>0</v>
      </c>
      <c r="AB106" s="298">
        <v>0</v>
      </c>
      <c r="AC106" s="298">
        <f t="shared" ref="AC106" si="36">AVERAGE(Q106:AB106)</f>
        <v>0</v>
      </c>
    </row>
    <row r="107" spans="1:29" x14ac:dyDescent="0.25">
      <c r="A107" s="5" t="s">
        <v>44</v>
      </c>
      <c r="B107" s="4">
        <f>B106</f>
        <v>1</v>
      </c>
      <c r="C107" s="4">
        <f>SUM($B$106:C$106)/COUNT($B$106:C$106)</f>
        <v>1</v>
      </c>
      <c r="D107" s="4">
        <f>SUM($B$106:D$106)/COUNT($B$106:D$106)</f>
        <v>1</v>
      </c>
      <c r="E107" s="4">
        <f>SUM($B$106:E$106)/COUNT($B$106:E$106)</f>
        <v>1</v>
      </c>
      <c r="F107" s="4">
        <f>SUM($B$106:F$106)/COUNT($B$106:F$106)</f>
        <v>1</v>
      </c>
      <c r="G107" s="4">
        <f>SUM($B$106:G$106)/COUNT($B$106:G$106)</f>
        <v>1</v>
      </c>
      <c r="H107" s="4">
        <f>SUM($B$106:H$106)/COUNT($B$106:H$106)</f>
        <v>1</v>
      </c>
      <c r="I107" s="4">
        <f>SUM($B$106:I$106)/COUNT($B$106:I$106)</f>
        <v>1</v>
      </c>
      <c r="J107" s="4">
        <f>SUM($B$106:J$106)/COUNT($B$106:J$106)</f>
        <v>1</v>
      </c>
      <c r="K107" s="4">
        <f>SUM($B$106:K$106)/COUNT($B$106:K$106)</f>
        <v>1</v>
      </c>
      <c r="L107" s="4">
        <f>SUM($B$106:L$106)/COUNT($B$106:L$106)</f>
        <v>1</v>
      </c>
      <c r="M107" s="4">
        <f>SUM($B$106:M$106)/COUNT($B$106:M$106)</f>
        <v>1</v>
      </c>
      <c r="N107" s="4"/>
      <c r="P107" s="5" t="s">
        <v>305</v>
      </c>
      <c r="Q107" s="298">
        <v>0</v>
      </c>
      <c r="R107" s="298">
        <v>0</v>
      </c>
      <c r="S107" s="298">
        <v>0</v>
      </c>
      <c r="T107" s="298">
        <v>0</v>
      </c>
      <c r="U107" s="298">
        <v>0</v>
      </c>
      <c r="V107" s="298">
        <v>0</v>
      </c>
      <c r="W107" s="298">
        <v>0</v>
      </c>
      <c r="X107" s="298">
        <v>0</v>
      </c>
      <c r="Y107" s="298">
        <v>0</v>
      </c>
      <c r="Z107" s="298">
        <v>0</v>
      </c>
      <c r="AA107" s="298">
        <v>0</v>
      </c>
      <c r="AB107" s="298">
        <v>0</v>
      </c>
      <c r="AC107" s="298">
        <f t="shared" si="33"/>
        <v>0</v>
      </c>
    </row>
    <row r="108" spans="1:29" x14ac:dyDescent="0.25">
      <c r="P108" s="5" t="s">
        <v>306</v>
      </c>
      <c r="Q108" s="313">
        <f t="shared" ref="Q108:AC108" si="37">SUM(Q103:Q107)</f>
        <v>0</v>
      </c>
      <c r="R108" s="313">
        <f t="shared" si="37"/>
        <v>0</v>
      </c>
      <c r="S108" s="313">
        <f t="shared" si="37"/>
        <v>0</v>
      </c>
      <c r="T108" s="313">
        <f t="shared" si="37"/>
        <v>0</v>
      </c>
      <c r="U108" s="313">
        <f t="shared" si="37"/>
        <v>0</v>
      </c>
      <c r="V108" s="313">
        <f t="shared" si="37"/>
        <v>0</v>
      </c>
      <c r="W108" s="313">
        <f t="shared" si="37"/>
        <v>0</v>
      </c>
      <c r="X108" s="313">
        <f t="shared" si="37"/>
        <v>0</v>
      </c>
      <c r="Y108" s="313">
        <f t="shared" si="37"/>
        <v>0</v>
      </c>
      <c r="Z108" s="313">
        <f t="shared" si="37"/>
        <v>0</v>
      </c>
      <c r="AA108" s="313">
        <f t="shared" si="37"/>
        <v>0</v>
      </c>
      <c r="AB108" s="313">
        <f t="shared" si="37"/>
        <v>0</v>
      </c>
      <c r="AC108" s="313">
        <f t="shared" si="37"/>
        <v>0</v>
      </c>
    </row>
    <row r="110" spans="1:29" x14ac:dyDescent="0.25">
      <c r="A110" s="6" t="s">
        <v>295</v>
      </c>
    </row>
    <row r="111" spans="1:29" x14ac:dyDescent="0.25">
      <c r="A111" s="5" t="s">
        <v>253</v>
      </c>
      <c r="B111" s="5" t="s">
        <v>29</v>
      </c>
      <c r="C111" s="5" t="s">
        <v>30</v>
      </c>
      <c r="D111" s="5" t="s">
        <v>31</v>
      </c>
      <c r="E111" s="5" t="s">
        <v>32</v>
      </c>
      <c r="F111" s="5" t="s">
        <v>33</v>
      </c>
      <c r="G111" s="5" t="s">
        <v>34</v>
      </c>
      <c r="H111" s="5" t="s">
        <v>35</v>
      </c>
      <c r="I111" s="5" t="s">
        <v>36</v>
      </c>
      <c r="J111" s="5" t="s">
        <v>37</v>
      </c>
      <c r="K111" s="5" t="s">
        <v>38</v>
      </c>
      <c r="L111" s="5" t="s">
        <v>39</v>
      </c>
      <c r="M111" s="5" t="s">
        <v>40</v>
      </c>
      <c r="N111" s="5" t="s">
        <v>95</v>
      </c>
    </row>
    <row r="112" spans="1:29" x14ac:dyDescent="0.25">
      <c r="A112" s="5" t="s">
        <v>296</v>
      </c>
      <c r="B112" s="10">
        <v>1000</v>
      </c>
      <c r="C112" s="10">
        <v>2000</v>
      </c>
      <c r="D112" s="10">
        <v>2000</v>
      </c>
      <c r="E112" s="10">
        <v>2000</v>
      </c>
      <c r="F112" s="10">
        <v>2000</v>
      </c>
      <c r="G112" s="10">
        <v>2000</v>
      </c>
      <c r="H112" s="10">
        <v>2000</v>
      </c>
      <c r="I112" s="10">
        <v>2000</v>
      </c>
      <c r="J112" s="10">
        <v>2000</v>
      </c>
      <c r="K112" s="10">
        <v>2000</v>
      </c>
      <c r="L112" s="10">
        <v>2000</v>
      </c>
      <c r="M112" s="10">
        <v>2000</v>
      </c>
      <c r="N112" s="10">
        <f>AVERAGE(B112:M112)</f>
        <v>1916.6666666666667</v>
      </c>
    </row>
    <row r="113" spans="1:14" x14ac:dyDescent="0.25">
      <c r="A113" s="5" t="s">
        <v>293</v>
      </c>
      <c r="B113" s="10">
        <v>2700</v>
      </c>
      <c r="C113" s="10">
        <v>2500</v>
      </c>
      <c r="D113" s="10">
        <v>2800</v>
      </c>
      <c r="E113" s="10">
        <v>2750</v>
      </c>
      <c r="F113" s="10">
        <v>2400</v>
      </c>
      <c r="G113" s="10">
        <v>2500</v>
      </c>
      <c r="H113" s="10">
        <v>2500</v>
      </c>
      <c r="I113" s="10">
        <v>2500</v>
      </c>
      <c r="J113" s="10">
        <v>2500</v>
      </c>
      <c r="K113" s="10">
        <v>2500</v>
      </c>
      <c r="L113" s="10">
        <v>2500</v>
      </c>
      <c r="M113" s="10">
        <v>2500</v>
      </c>
      <c r="N113" s="10">
        <f>AVERAGE(B113:M113)</f>
        <v>2554.1666666666665</v>
      </c>
    </row>
    <row r="114" spans="1:14" x14ac:dyDescent="0.25">
      <c r="A114" s="5" t="s">
        <v>41</v>
      </c>
      <c r="B114" s="4">
        <v>0.7</v>
      </c>
      <c r="C114" s="4">
        <v>0.7</v>
      </c>
      <c r="D114" s="4">
        <v>0.7</v>
      </c>
      <c r="E114" s="4">
        <v>0.7</v>
      </c>
      <c r="F114" s="4">
        <v>0.7</v>
      </c>
      <c r="G114" s="4">
        <v>0.7</v>
      </c>
      <c r="H114" s="4">
        <v>0.7</v>
      </c>
      <c r="I114" s="4">
        <v>0.7</v>
      </c>
      <c r="J114" s="4">
        <v>0.7</v>
      </c>
      <c r="K114" s="4">
        <v>0.7</v>
      </c>
      <c r="L114" s="4">
        <v>0.7</v>
      </c>
      <c r="M114" s="4">
        <v>0.7</v>
      </c>
      <c r="N114" s="4">
        <v>0.7</v>
      </c>
    </row>
    <row r="115" spans="1:14" x14ac:dyDescent="0.25">
      <c r="A115" s="5" t="s">
        <v>42</v>
      </c>
      <c r="B115" s="4">
        <f>B112/B113</f>
        <v>0.37037037037037035</v>
      </c>
      <c r="C115" s="4">
        <f t="shared" ref="C115:M115" si="38">C112/C113</f>
        <v>0.8</v>
      </c>
      <c r="D115" s="4">
        <f t="shared" si="38"/>
        <v>0.7142857142857143</v>
      </c>
      <c r="E115" s="4">
        <f t="shared" si="38"/>
        <v>0.72727272727272729</v>
      </c>
      <c r="F115" s="4">
        <f t="shared" si="38"/>
        <v>0.83333333333333337</v>
      </c>
      <c r="G115" s="4">
        <f t="shared" si="38"/>
        <v>0.8</v>
      </c>
      <c r="H115" s="4">
        <f t="shared" si="38"/>
        <v>0.8</v>
      </c>
      <c r="I115" s="4">
        <f t="shared" si="38"/>
        <v>0.8</v>
      </c>
      <c r="J115" s="4">
        <f t="shared" si="38"/>
        <v>0.8</v>
      </c>
      <c r="K115" s="4">
        <f t="shared" si="38"/>
        <v>0.8</v>
      </c>
      <c r="L115" s="4">
        <f t="shared" si="38"/>
        <v>0.8</v>
      </c>
      <c r="M115" s="4">
        <f t="shared" si="38"/>
        <v>0.8</v>
      </c>
      <c r="N115" s="4">
        <f>N112/N113</f>
        <v>0.75040783034257752</v>
      </c>
    </row>
    <row r="116" spans="1:14" x14ac:dyDescent="0.25">
      <c r="A116" s="5" t="s">
        <v>44</v>
      </c>
      <c r="B116" s="4">
        <f>B112/B113</f>
        <v>0.37037037037037035</v>
      </c>
      <c r="C116" s="4">
        <f>SUM($B$112:C$112)/SUM($B$113:C$113)</f>
        <v>0.57692307692307687</v>
      </c>
      <c r="D116" s="4">
        <f>SUM($B$112:D$112)/SUM($B$113:D$113)</f>
        <v>0.625</v>
      </c>
      <c r="E116" s="4">
        <f>SUM($B$112:E$112)/SUM($B$113:E$113)</f>
        <v>0.65116279069767447</v>
      </c>
      <c r="F116" s="4">
        <f>SUM($B$112:F$112)/SUM($B$113:F$113)</f>
        <v>0.68441064638783267</v>
      </c>
      <c r="G116" s="4">
        <f>SUM($B$112:G$112)/SUM($B$113:G$113)</f>
        <v>0.70287539936102239</v>
      </c>
      <c r="H116" s="4">
        <f>SUM($B$112:H$112)/SUM($B$113:H$113)</f>
        <v>0.71625344352617082</v>
      </c>
      <c r="I116" s="4">
        <f>SUM($B$112:I$112)/SUM($B$113:I$113)</f>
        <v>0.72639225181598066</v>
      </c>
      <c r="J116" s="4">
        <f>SUM($B$112:J$112)/SUM($B$113:J$113)</f>
        <v>0.73434125269978401</v>
      </c>
      <c r="K116" s="4">
        <f>SUM($B$112:K$112)/SUM($B$113:K$113)</f>
        <v>0.7407407407407407</v>
      </c>
      <c r="L116" s="4">
        <f>SUM($B$112:L$112)/SUM($B$113:L$113)</f>
        <v>0.74600355239786853</v>
      </c>
      <c r="M116" s="4">
        <f>SUM($B$112:M$112)/SUM($B$113:M$113)</f>
        <v>0.75040783034257752</v>
      </c>
      <c r="N116" s="2"/>
    </row>
    <row r="117" spans="1:14" ht="45" x14ac:dyDescent="0.25">
      <c r="A117" s="309" t="s">
        <v>299</v>
      </c>
    </row>
  </sheetData>
  <conditionalFormatting sqref="B97:M98">
    <cfRule type="cellIs" dxfId="217" priority="1" operator="equal">
      <formula>1</formula>
    </cfRule>
    <cfRule type="cellIs" dxfId="216" priority="2" operator="lessThan">
      <formula>1</formula>
    </cfRule>
    <cfRule type="cellIs" dxfId="215" priority="3" operator="greaterThan">
      <formula>1</formula>
    </cfRule>
  </conditionalFormatting>
  <conditionalFormatting sqref="B106:M107">
    <cfRule type="cellIs" dxfId="214" priority="10" operator="equal">
      <formula>1</formula>
    </cfRule>
    <cfRule type="cellIs" dxfId="213" priority="11" operator="lessThan">
      <formula>1</formula>
    </cfRule>
    <cfRule type="cellIs" dxfId="212" priority="12" operator="greaterThan">
      <formula>1</formula>
    </cfRule>
  </conditionalFormatting>
  <conditionalFormatting sqref="B6:N6 B7:M7 B41:N41 B42:M42">
    <cfRule type="cellIs" dxfId="211" priority="56" operator="lessThan">
      <formula>1</formula>
    </cfRule>
    <cfRule type="cellIs" dxfId="210" priority="57" operator="greaterThan">
      <formula>1</formula>
    </cfRule>
    <cfRule type="cellIs" dxfId="209" priority="55" operator="equal">
      <formula>1</formula>
    </cfRule>
  </conditionalFormatting>
  <conditionalFormatting sqref="B15:N15 B16:M16">
    <cfRule type="cellIs" dxfId="208" priority="52" operator="equal">
      <formula>1</formula>
    </cfRule>
    <cfRule type="cellIs" dxfId="207" priority="53" operator="lessThan">
      <formula>1</formula>
    </cfRule>
    <cfRule type="cellIs" dxfId="206" priority="54" operator="greaterThan">
      <formula>1</formula>
    </cfRule>
  </conditionalFormatting>
  <conditionalFormatting sqref="B23:N23 B24:M24">
    <cfRule type="cellIs" dxfId="205" priority="46" operator="equal">
      <formula>1</formula>
    </cfRule>
    <cfRule type="cellIs" dxfId="204" priority="47" operator="lessThan">
      <formula>1</formula>
    </cfRule>
    <cfRule type="cellIs" dxfId="203" priority="48" operator="greaterThan">
      <formula>1</formula>
    </cfRule>
  </conditionalFormatting>
  <conditionalFormatting sqref="B32:N32 B33:M33">
    <cfRule type="cellIs" dxfId="202" priority="40" operator="equal">
      <formula>1</formula>
    </cfRule>
    <cfRule type="cellIs" dxfId="201" priority="41" operator="lessThan">
      <formula>1</formula>
    </cfRule>
    <cfRule type="cellIs" dxfId="200" priority="42" operator="greaterThan">
      <formula>1</formula>
    </cfRule>
  </conditionalFormatting>
  <conditionalFormatting sqref="B50:N50 B51:M51">
    <cfRule type="cellIs" dxfId="199" priority="28" operator="equal">
      <formula>1</formula>
    </cfRule>
    <cfRule type="cellIs" dxfId="198" priority="30" operator="greaterThan">
      <formula>1</formula>
    </cfRule>
    <cfRule type="cellIs" dxfId="197" priority="29" operator="lessThan">
      <formula>1</formula>
    </cfRule>
  </conditionalFormatting>
  <conditionalFormatting sqref="B61:N61 B62:M62">
    <cfRule type="cellIs" dxfId="196" priority="25" operator="equal">
      <formula>1</formula>
    </cfRule>
    <cfRule type="cellIs" dxfId="195" priority="26" operator="lessThan">
      <formula>1</formula>
    </cfRule>
    <cfRule type="cellIs" dxfId="194" priority="27" operator="greaterThan">
      <formula>1</formula>
    </cfRule>
  </conditionalFormatting>
  <conditionalFormatting sqref="B71:N71 B72:M72">
    <cfRule type="cellIs" dxfId="193" priority="37" operator="equal">
      <formula>1</formula>
    </cfRule>
    <cfRule type="cellIs" dxfId="192" priority="38" operator="lessThan">
      <formula>1</formula>
    </cfRule>
    <cfRule type="cellIs" dxfId="191" priority="39" operator="greaterThan">
      <formula>1</formula>
    </cfRule>
  </conditionalFormatting>
  <conditionalFormatting sqref="B80:N80 B81:M81">
    <cfRule type="cellIs" dxfId="190" priority="32" operator="lessThan">
      <formula>1</formula>
    </cfRule>
    <cfRule type="cellIs" dxfId="189" priority="33" operator="greaterThan">
      <formula>1</formula>
    </cfRule>
    <cfRule type="cellIs" dxfId="188" priority="31" operator="equal">
      <formula>1</formula>
    </cfRule>
  </conditionalFormatting>
  <conditionalFormatting sqref="B88:N88 B89:M89">
    <cfRule type="cellIs" dxfId="187" priority="19" operator="equal">
      <formula>1</formula>
    </cfRule>
    <cfRule type="cellIs" dxfId="186" priority="20" operator="lessThan">
      <formula>1</formula>
    </cfRule>
    <cfRule type="cellIs" dxfId="185" priority="21" operator="greaterThan">
      <formula>1</formula>
    </cfRule>
  </conditionalFormatting>
  <conditionalFormatting sqref="N97">
    <cfRule type="cellIs" dxfId="184" priority="7" operator="equal">
      <formula>1</formula>
    </cfRule>
    <cfRule type="cellIs" dxfId="183" priority="8" operator="lessThan">
      <formula>1</formula>
    </cfRule>
    <cfRule type="cellIs" dxfId="182" priority="9" operator="greaterThan">
      <formula>1</formula>
    </cfRule>
  </conditionalFormatting>
  <conditionalFormatting sqref="N106">
    <cfRule type="cellIs" dxfId="181" priority="16" operator="equal">
      <formula>1</formula>
    </cfRule>
    <cfRule type="cellIs" dxfId="180" priority="17" operator="lessThan">
      <formula>1</formula>
    </cfRule>
    <cfRule type="cellIs" dxfId="179" priority="18" operator="greaterThan">
      <formula>1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DE3A-9F01-45D0-8FE5-209970458EF7}">
  <sheetPr>
    <pageSetUpPr fitToPage="1"/>
  </sheetPr>
  <dimension ref="A3:U82"/>
  <sheetViews>
    <sheetView showGridLines="0" zoomScale="70" zoomScaleNormal="70" zoomScaleSheetLayoutView="85" workbookViewId="0">
      <selection activeCell="C11" sqref="C11"/>
    </sheetView>
  </sheetViews>
  <sheetFormatPr defaultColWidth="7.85546875" defaultRowHeight="15.75" x14ac:dyDescent="0.25"/>
  <cols>
    <col min="1" max="1" width="1.7109375" style="98" customWidth="1"/>
    <col min="2" max="2" width="27.7109375" style="102" customWidth="1"/>
    <col min="3" max="3" width="37" style="98" customWidth="1"/>
    <col min="4" max="4" width="42.7109375" style="98" customWidth="1"/>
    <col min="5" max="5" width="35.85546875" style="98" customWidth="1"/>
    <col min="6" max="6" width="13.5703125" style="117" customWidth="1"/>
    <col min="7" max="7" width="12.140625" style="117" customWidth="1"/>
    <col min="8" max="8" width="12.7109375" style="98" customWidth="1"/>
    <col min="9" max="9" width="16" style="98" customWidth="1"/>
    <col min="10" max="11" width="16.140625" style="98" customWidth="1"/>
    <col min="12" max="13" width="15.42578125" style="98" customWidth="1"/>
    <col min="14" max="14" width="2.7109375" style="98" customWidth="1"/>
    <col min="15" max="15" width="8.7109375" style="98" bestFit="1" customWidth="1"/>
    <col min="16" max="16" width="10.85546875" style="98" bestFit="1" customWidth="1"/>
    <col min="17" max="17" width="7.85546875" style="99" bestFit="1" customWidth="1"/>
    <col min="18" max="18" width="18.140625" style="100" bestFit="1" customWidth="1"/>
    <col min="19" max="19" width="18.28515625" style="99" customWidth="1"/>
    <col min="20" max="16384" width="7.85546875" style="98"/>
  </cols>
  <sheetData>
    <row r="3" spans="2:21" ht="28.5" x14ac:dyDescent="0.45">
      <c r="B3" s="526" t="s">
        <v>120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2:21" ht="28.5" x14ac:dyDescent="0.45">
      <c r="B4" s="526" t="s">
        <v>121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</row>
    <row r="5" spans="2:21" x14ac:dyDescent="0.25">
      <c r="B5" s="101"/>
      <c r="C5" s="101"/>
      <c r="D5" s="101"/>
      <c r="E5" s="101"/>
      <c r="F5" s="101"/>
      <c r="G5" s="101"/>
      <c r="H5" s="101"/>
      <c r="I5" s="101"/>
      <c r="J5" s="423" t="s">
        <v>122</v>
      </c>
      <c r="K5" s="423"/>
      <c r="L5" s="423"/>
      <c r="M5" s="423"/>
    </row>
    <row r="6" spans="2:21" ht="33.6" customHeight="1" x14ac:dyDescent="0.25">
      <c r="B6" s="522" t="s">
        <v>102</v>
      </c>
      <c r="C6" s="524" t="s">
        <v>103</v>
      </c>
      <c r="D6" s="424" t="s">
        <v>214</v>
      </c>
      <c r="E6" s="424" t="s">
        <v>204</v>
      </c>
      <c r="F6" s="424"/>
      <c r="G6" s="424"/>
      <c r="H6" s="424"/>
      <c r="I6" s="527" t="s">
        <v>127</v>
      </c>
      <c r="J6" s="425" t="s">
        <v>206</v>
      </c>
      <c r="K6" s="425"/>
      <c r="L6" s="105">
        <v>1.25</v>
      </c>
      <c r="M6" s="106">
        <v>1.5</v>
      </c>
      <c r="R6" s="266" t="s">
        <v>126</v>
      </c>
      <c r="S6" s="266"/>
      <c r="T6" s="266"/>
      <c r="U6" s="266"/>
    </row>
    <row r="7" spans="2:21" ht="33.6" customHeight="1" x14ac:dyDescent="0.25">
      <c r="B7" s="523"/>
      <c r="C7" s="525"/>
      <c r="D7" s="424"/>
      <c r="E7" s="424"/>
      <c r="F7" s="424"/>
      <c r="G7" s="424"/>
      <c r="H7" s="424"/>
      <c r="I7" s="528"/>
      <c r="J7" s="426" t="s">
        <v>207</v>
      </c>
      <c r="K7" s="427"/>
      <c r="L7" s="107">
        <v>1.05</v>
      </c>
      <c r="M7" s="108">
        <v>1.25</v>
      </c>
      <c r="N7" s="109"/>
      <c r="O7" s="109"/>
      <c r="P7" s="109"/>
      <c r="Q7" s="109"/>
      <c r="R7" s="266" t="s">
        <v>204</v>
      </c>
      <c r="S7" s="266"/>
      <c r="T7" s="266"/>
      <c r="U7" s="266"/>
    </row>
    <row r="8" spans="2:21" ht="33.6" customHeight="1" x14ac:dyDescent="0.25">
      <c r="B8" s="522" t="s">
        <v>128</v>
      </c>
      <c r="C8" s="524" t="s">
        <v>311</v>
      </c>
      <c r="D8" s="424" t="s">
        <v>132</v>
      </c>
      <c r="E8" s="430">
        <f>M50</f>
        <v>0.80658166238836848</v>
      </c>
      <c r="F8" s="430"/>
      <c r="G8" s="430"/>
      <c r="H8" s="430"/>
      <c r="I8" s="529">
        <f>COUNTA(F16:F50)</f>
        <v>30</v>
      </c>
      <c r="J8" s="431" t="s">
        <v>208</v>
      </c>
      <c r="K8" s="432"/>
      <c r="L8" s="111">
        <v>0.95</v>
      </c>
      <c r="M8" s="112">
        <v>1.05</v>
      </c>
      <c r="N8" s="109"/>
      <c r="O8" s="109"/>
      <c r="P8" s="109"/>
      <c r="Q8" s="109"/>
      <c r="R8" s="269" t="s">
        <v>29</v>
      </c>
    </row>
    <row r="9" spans="2:21" ht="33.6" customHeight="1" x14ac:dyDescent="0.25">
      <c r="B9" s="523"/>
      <c r="C9" s="525"/>
      <c r="D9" s="424"/>
      <c r="E9" s="430"/>
      <c r="F9" s="430"/>
      <c r="G9" s="430"/>
      <c r="H9" s="430"/>
      <c r="I9" s="529"/>
      <c r="J9" s="433" t="s">
        <v>209</v>
      </c>
      <c r="K9" s="434"/>
      <c r="L9" s="113">
        <v>0.8</v>
      </c>
      <c r="M9" s="114">
        <v>0.95</v>
      </c>
      <c r="R9" s="100" t="s">
        <v>30</v>
      </c>
    </row>
    <row r="10" spans="2:21" ht="33.6" customHeight="1" x14ac:dyDescent="0.25">
      <c r="B10" s="104" t="s">
        <v>99</v>
      </c>
      <c r="C10" s="103" t="s">
        <v>135</v>
      </c>
      <c r="D10" s="104" t="s">
        <v>136</v>
      </c>
      <c r="E10" s="530" t="str">
        <f>M60</f>
        <v>C</v>
      </c>
      <c r="F10" s="530"/>
      <c r="G10" s="530"/>
      <c r="H10" s="530"/>
      <c r="I10" s="529"/>
      <c r="J10" s="438" t="s">
        <v>210</v>
      </c>
      <c r="K10" s="439"/>
      <c r="L10" s="115">
        <v>0</v>
      </c>
      <c r="M10" s="116">
        <v>0.8</v>
      </c>
      <c r="R10" s="100" t="s">
        <v>31</v>
      </c>
      <c r="S10" s="99" t="s">
        <v>156</v>
      </c>
      <c r="T10" s="98" t="s">
        <v>157</v>
      </c>
    </row>
    <row r="11" spans="2:21" ht="33" customHeight="1" x14ac:dyDescent="0.25">
      <c r="B11" s="266"/>
      <c r="C11" s="266"/>
      <c r="D11" s="267"/>
      <c r="E11" s="268"/>
      <c r="F11" s="268"/>
      <c r="G11" s="268"/>
      <c r="H11" s="268"/>
      <c r="I11" s="270"/>
      <c r="J11" s="271"/>
      <c r="K11" s="272"/>
      <c r="L11" s="273"/>
      <c r="M11" s="274"/>
      <c r="R11" s="100" t="s">
        <v>32</v>
      </c>
      <c r="S11" s="99" t="s">
        <v>161</v>
      </c>
      <c r="T11" s="98" t="s">
        <v>213</v>
      </c>
    </row>
    <row r="12" spans="2:21" ht="21" customHeight="1" x14ac:dyDescent="0.25">
      <c r="B12" s="277" t="s">
        <v>95</v>
      </c>
      <c r="C12" s="266" t="s">
        <v>205</v>
      </c>
      <c r="D12" s="267"/>
      <c r="E12" s="268"/>
      <c r="F12" s="268"/>
      <c r="G12" s="268"/>
      <c r="H12" s="268"/>
      <c r="I12" s="270"/>
      <c r="J12" s="271"/>
      <c r="K12" s="272"/>
      <c r="L12" s="273"/>
      <c r="M12" s="274"/>
      <c r="R12" s="100" t="s">
        <v>35</v>
      </c>
      <c r="S12" s="99" t="s">
        <v>165</v>
      </c>
    </row>
    <row r="13" spans="2:21" ht="21" customHeight="1" thickBot="1" x14ac:dyDescent="0.3">
      <c r="B13" s="282"/>
      <c r="C13" s="266"/>
      <c r="D13" s="267"/>
      <c r="E13" s="268"/>
      <c r="F13" s="268"/>
      <c r="G13" s="268"/>
      <c r="H13" s="268"/>
      <c r="I13" s="270"/>
      <c r="J13" s="271"/>
      <c r="K13" s="272"/>
      <c r="L13" s="273"/>
      <c r="M13" s="274"/>
      <c r="R13" s="123" t="s">
        <v>36</v>
      </c>
      <c r="S13" s="99" t="s">
        <v>211</v>
      </c>
    </row>
    <row r="14" spans="2:21" s="99" customFormat="1" x14ac:dyDescent="0.25">
      <c r="B14" s="440" t="s">
        <v>137</v>
      </c>
      <c r="C14" s="428" t="s">
        <v>138</v>
      </c>
      <c r="D14" s="428" t="s">
        <v>139</v>
      </c>
      <c r="E14" s="428" t="s">
        <v>140</v>
      </c>
      <c r="F14" s="428" t="s">
        <v>141</v>
      </c>
      <c r="G14" s="428" t="s">
        <v>142</v>
      </c>
      <c r="H14" s="119" t="s">
        <v>143</v>
      </c>
      <c r="I14" s="118" t="s">
        <v>41</v>
      </c>
      <c r="J14" s="119" t="s">
        <v>42</v>
      </c>
      <c r="K14" s="119" t="s">
        <v>144</v>
      </c>
      <c r="L14" s="119" t="s">
        <v>145</v>
      </c>
      <c r="M14" s="119" t="s">
        <v>146</v>
      </c>
      <c r="R14" s="136" t="s">
        <v>37</v>
      </c>
      <c r="S14" s="99" t="s">
        <v>212</v>
      </c>
    </row>
    <row r="15" spans="2:21" s="99" customFormat="1" ht="16.5" thickBot="1" x14ac:dyDescent="0.3">
      <c r="B15" s="441"/>
      <c r="C15" s="429"/>
      <c r="D15" s="429"/>
      <c r="E15" s="429"/>
      <c r="F15" s="429"/>
      <c r="G15" s="429"/>
      <c r="H15" s="120" t="s">
        <v>147</v>
      </c>
      <c r="I15" s="121" t="s">
        <v>148</v>
      </c>
      <c r="J15" s="120" t="s">
        <v>149</v>
      </c>
      <c r="K15" s="120" t="s">
        <v>150</v>
      </c>
      <c r="L15" s="120" t="s">
        <v>151</v>
      </c>
      <c r="M15" s="120" t="s">
        <v>152</v>
      </c>
      <c r="P15" s="102"/>
      <c r="Q15" s="122"/>
      <c r="R15" s="136" t="s">
        <v>38</v>
      </c>
    </row>
    <row r="16" spans="2:21" ht="48" customHeight="1" x14ac:dyDescent="0.25">
      <c r="B16" s="442" t="s">
        <v>153</v>
      </c>
      <c r="C16" s="563" t="s">
        <v>154</v>
      </c>
      <c r="D16" s="125" t="s">
        <v>312</v>
      </c>
      <c r="E16" s="126" t="s">
        <v>324</v>
      </c>
      <c r="F16" s="127" t="s">
        <v>156</v>
      </c>
      <c r="G16" s="127" t="s">
        <v>157</v>
      </c>
      <c r="H16" s="128">
        <v>0.1</v>
      </c>
      <c r="I16" s="129">
        <f>HLOOKUP(B12,'DB SLS &amp; MKT'!B2:N3,2,0)</f>
        <v>323.90600000000001</v>
      </c>
      <c r="J16" s="129">
        <f>HLOOKUP(B12,'DB SLS &amp; MKT'!B2:N4,3,0)</f>
        <v>320.22208333333333</v>
      </c>
      <c r="K16" s="130">
        <f>IF(F16="Maximize",J16-I16,IF(F16="Minimize",I16-J16,J16-I16))</f>
        <v>-3.6839166666666756</v>
      </c>
      <c r="L16" s="131">
        <f>IFERROR(IF(AND(F16="Maximize",G16="Unlock"),IF(((J16-I16)/ABS(I16))+1&lt;0,0,((J16-I16)/ABS(I16))+1),IF(AND(F16="Maximize",G16="Lock"),IF(((J16-I16)/ABS(I16))+1&lt;0,0,IF(((J16-I16)/ABS(I16))+1&gt;$M$6,$M$6,((J16-I16)/ABS(I16))+1)),IF(AND(F16="Minimize",G16="Unlock"),IF(((I16-J16)/ABS(I16))+1&lt;0,0,((I16-J16)/ABS(I16))+1),IF(AND(F16="Minimize",G16="Lock"),IF(((I16-J16)/ABS(I16))+1&lt;0,0,IF(((I16-J16)/ABS(I16))+1&gt;$M$6,$M$6,((I16-J16)/ABS(I16))+1)),IF(F16="Min to Zero",IF(J16&gt;I16,0,IF(J16&lt;I16,0,100%)),IF(F16="Stabilize to Target",IF(J16-I16=0,100%,IF(ABS(J16-I16)&gt;=ABS(I16),0,ABS(IF(J16&gt;I16,1-((J16-I16)/I16),IF(J16&lt;I16,1-((I16-ABS(J16))/I16),0))))),IF(F16="Stabilize to Zero",IF(AND(J16&lt;=I16,J16&gt;=-I16),ABS(IF(J16&gt;I16,J16-I16,IF(J16&lt;I16,I16-ABS(J16),0)))/ABS(I16),0)))))))),0)</f>
        <v>0.98862658713742047</v>
      </c>
      <c r="M16" s="132">
        <f t="shared" ref="M16:M22" si="0">L16*H16</f>
        <v>9.8862658713742058E-2</v>
      </c>
      <c r="N16" s="133"/>
      <c r="O16" s="134"/>
      <c r="P16" s="135"/>
      <c r="Q16" s="100"/>
      <c r="R16" s="136" t="s">
        <v>39</v>
      </c>
      <c r="S16" s="136"/>
    </row>
    <row r="17" spans="2:19" ht="48" customHeight="1" x14ac:dyDescent="0.25">
      <c r="B17" s="442"/>
      <c r="C17" s="562"/>
      <c r="D17" s="125" t="s">
        <v>313</v>
      </c>
      <c r="E17" s="126" t="s">
        <v>324</v>
      </c>
      <c r="F17" s="127" t="s">
        <v>156</v>
      </c>
      <c r="G17" s="127" t="s">
        <v>157</v>
      </c>
      <c r="H17" s="128">
        <v>0.05</v>
      </c>
      <c r="I17" s="129">
        <f>HLOOKUP(B12,'DB SLS &amp; MKT'!B11:N12,2,0)</f>
        <v>468.95900000000012</v>
      </c>
      <c r="J17" s="129">
        <f>HLOOKUP(B12,'DB SLS &amp; MKT'!B11:N13,3,0)</f>
        <v>322.22208333333333</v>
      </c>
      <c r="K17" s="130">
        <f>IF(F17="Maximize",J17-I17,IF(F17="Minimize",I17-J17,J17-I17))</f>
        <v>-146.73691666666679</v>
      </c>
      <c r="L17" s="131">
        <f>IFERROR(IF(AND(F17="Maximize",G17="Unlock"),IF(((J17-I17)/ABS(I17))+1&lt;0,0,((J17-I17)/ABS(I17))+1),IF(AND(F17="Maximize",G17="Lock"),IF(((J17-I17)/ABS(I17))+1&lt;0,0,IF(((J17-I17)/ABS(I17))+1&gt;$M$6,$M$6,((J17-I17)/ABS(I17))+1)),IF(AND(F17="Minimize",G17="Unlock"),IF(((I17-J17)/ABS(I17))+1&lt;0,0,((I17-J17)/ABS(I17))+1),IF(AND(F17="Minimize",G17="Lock"),IF(((I17-J17)/ABS(I17))+1&lt;0,0,IF(((I17-J17)/ABS(I17))+1&gt;$M$6,$M$6,((I17-J17)/ABS(I17))+1)),IF(F17="Min to Zero",IF(J17&gt;I17,0,IF(J17&lt;I17,0,100%)),IF(F17="Stabilize to Target",IF(J17-I17=0,100%,IF(ABS(J17-I17)&gt;=ABS(I17),0,ABS(IF(J17&gt;I17,1-((J17-I17)/I17),IF(J17&lt;I17,1-((I17-ABS(J17))/I17),0))))),IF(F17="Stabilize to Zero",IF(AND(J17&lt;=I17,J17&gt;=-I17),ABS(IF(J17&gt;I17,J17-I17,IF(J17&lt;I17,I17-ABS(J17),0)))/ABS(I17),0)))))))),0)</f>
        <v>0.68710075578746377</v>
      </c>
      <c r="M17" s="132">
        <f t="shared" si="0"/>
        <v>3.435503778937319E-2</v>
      </c>
      <c r="N17" s="133"/>
      <c r="O17" s="134"/>
      <c r="P17" s="135"/>
      <c r="Q17" s="100"/>
      <c r="R17" s="136" t="s">
        <v>40</v>
      </c>
      <c r="S17" s="136"/>
    </row>
    <row r="18" spans="2:19" ht="46.5" customHeight="1" x14ac:dyDescent="0.25">
      <c r="B18" s="443"/>
      <c r="C18" s="444" t="s">
        <v>158</v>
      </c>
      <c r="D18" s="138" t="s">
        <v>2</v>
      </c>
      <c r="E18" s="126" t="s">
        <v>325</v>
      </c>
      <c r="F18" s="127" t="s">
        <v>156</v>
      </c>
      <c r="G18" s="127" t="s">
        <v>157</v>
      </c>
      <c r="H18" s="139">
        <v>0.05</v>
      </c>
      <c r="I18" s="140">
        <f>HLOOKUP(B12,'DB SLS &amp; MKT'!B20:N21,2,0)</f>
        <v>67031</v>
      </c>
      <c r="J18" s="141">
        <f>HLOOKUP(B12,'DB SLS &amp; MKT'!B20:N22,3,0)</f>
        <v>18001.317024999989</v>
      </c>
      <c r="K18" s="142">
        <f t="shared" ref="K18" si="1">IF(F18="Maximize",J18-I18,IF(F18="Minimize",I18-J18,J18-I18))</f>
        <v>-49029.682975000011</v>
      </c>
      <c r="L18" s="131">
        <f t="shared" ref="L18" si="2">IFERROR(IF(AND(F18="Maximize",G18="Unlock"),IF(((J18-I18)/ABS(I18))+1&lt;0,0,((J18-I18)/ABS(I18))+1),IF(AND(F18="Maximize",G18="Lock"),IF(((J18-I18)/ABS(I18))+1&lt;0,0,IF(((J18-I18)/ABS(I18))+1&gt;$M$6,$M$6,((J18-I18)/ABS(I18))+1)),IF(AND(F18="Minimize",G18="Unlock"),IF(((I18-J18)/ABS(I18))+1&lt;0,0,((I18-J18)/ABS(I18))+1),IF(AND(F18="Minimize",G18="Lock"),IF(((I18-J18)/ABS(I18))+1&lt;0,0,IF(((I18-J18)/ABS(I18))+1&gt;$M$6,$M$6,((I18-J18)/ABS(I18))+1)),IF(F18="Min to Zero",IF(J18&gt;I18,0,IF(J18&lt;I18,0,100%)),IF(F18="Stabilize to Target",IF(J18-I18=0,100%,IF(ABS(J18-I18)&gt;=ABS(I18),0,ABS(IF(J18&gt;I18,1-((J18-I18)/I18),IF(J18&lt;I18,1-((I18-ABS(J18))/I18),0))))),IF(F18="Stabilize to Zero",IF(AND(J18&lt;=I18,J18&gt;=-I18),ABS(IF(J18&gt;I18,J18-I18,IF(J18&lt;I18,I18-ABS(J18),0)))/ABS(I18),0)))))))),0)</f>
        <v>0.26855211804985735</v>
      </c>
      <c r="M18" s="143">
        <f t="shared" si="0"/>
        <v>1.3427605902492867E-2</v>
      </c>
      <c r="N18" s="133"/>
      <c r="O18" s="134"/>
      <c r="P18" s="135"/>
      <c r="Q18" s="100"/>
      <c r="R18" s="136" t="s">
        <v>95</v>
      </c>
      <c r="S18" s="136"/>
    </row>
    <row r="19" spans="2:19" ht="24.75" customHeight="1" x14ac:dyDescent="0.25">
      <c r="B19" s="443"/>
      <c r="C19" s="445"/>
      <c r="D19" s="125" t="s">
        <v>219</v>
      </c>
      <c r="E19" s="126" t="s">
        <v>159</v>
      </c>
      <c r="F19" s="127" t="s">
        <v>156</v>
      </c>
      <c r="G19" s="127" t="s">
        <v>157</v>
      </c>
      <c r="H19" s="128">
        <v>0.05</v>
      </c>
      <c r="I19" s="129">
        <f>HLOOKUP(B12,'DB SLS &amp; MKT'!B29:N30,2,0)</f>
        <v>19043</v>
      </c>
      <c r="J19" s="130">
        <f>HLOOKUP(B12,'DB SLS &amp; MKT'!B29:N31,3,0)</f>
        <v>12148.384477999985</v>
      </c>
      <c r="K19" s="130">
        <f>IF(F19="Maximize",J19-I19,IF(F19="Minimize",I19-J19,J19-I19))</f>
        <v>-6894.6155220000146</v>
      </c>
      <c r="L19" s="131">
        <f>IFERROR(IF(AND(F19="Maximize",G19="Unlock"),IF(((J19-I19)/ABS(I19))+1&lt;0,0,((J19-I19)/ABS(I19))+1),IF(AND(F19="Maximize",G19="Lock"),IF(((J19-I19)/ABS(I19))+1&lt;0,0,IF(((J19-I19)/ABS(I19))+1&gt;$M$6,$M$6,((J19-I19)/ABS(I19))+1)),IF(AND(F19="Minimize",G19="Unlock"),IF(((I19-J19)/ABS(I19))+1&lt;0,0,((I19-J19)/ABS(I19))+1),IF(AND(F19="Minimize",G19="Lock"),IF(((I19-J19)/ABS(I19))+1&lt;0,0,IF(((I19-J19)/ABS(I19))+1&gt;$M$6,$M$6,((I19-J19)/ABS(I19))+1)),IF(F19="Min to Zero",IF(J19&gt;I19,0,IF(J19&lt;I19,0,100%)),IF(F19="Stabilize to Target",IF(J19-I19=0,100%,IF(ABS(J19-I19)&gt;=ABS(I19),0,ABS(IF(J19&gt;I19,1-((J19-I19)/I19),IF(J19&lt;I19,1-((I19-ABS(J19))/I19),0))))),IF(F19="Stabilize to Zero",IF(AND(J19&lt;=I19,J19&gt;=-I19),ABS(IF(J19&gt;I19,J19-I19,IF(J19&lt;I19,I19-ABS(J19),0)))/ABS(I19),0)))))))),0)</f>
        <v>0.63794488673003125</v>
      </c>
      <c r="M19" s="132">
        <f t="shared" si="0"/>
        <v>3.1897244336501561E-2</v>
      </c>
      <c r="N19" s="133"/>
      <c r="O19" s="134"/>
      <c r="P19" s="135"/>
      <c r="Q19" s="100"/>
      <c r="R19" s="136"/>
      <c r="S19" s="136"/>
    </row>
    <row r="20" spans="2:19" ht="42.75" customHeight="1" x14ac:dyDescent="0.25">
      <c r="B20" s="443"/>
      <c r="C20" s="450" t="s">
        <v>160</v>
      </c>
      <c r="D20" s="138" t="s">
        <v>262</v>
      </c>
      <c r="E20" s="126" t="s">
        <v>159</v>
      </c>
      <c r="F20" s="127" t="s">
        <v>161</v>
      </c>
      <c r="G20" s="127" t="s">
        <v>157</v>
      </c>
      <c r="H20" s="139">
        <v>0.05</v>
      </c>
      <c r="I20" s="315">
        <f>HLOOKUP(B12,'DB SLS &amp; MKT'!B38:N39,2,0)</f>
        <v>7.4999999999999983E-2</v>
      </c>
      <c r="J20" s="315">
        <f>HLOOKUP(B12,'DB SLS &amp; MKT'!B38:N40,3,0)</f>
        <v>4.7395833333333325E-2</v>
      </c>
      <c r="K20" s="146">
        <f t="shared" ref="K20" si="3">IF(F20="Maximize",J20-I20,IF(F20="Minimize",I20-J20,J20-I20))</f>
        <v>2.7604166666666659E-2</v>
      </c>
      <c r="L20" s="131">
        <f t="shared" ref="L20" si="4">IFERROR(IF(AND(F20="Maximize",G20="Unlock"),IF(((J20-I20)/ABS(I20))+1&lt;0,0,((J20-I20)/ABS(I20))+1),IF(AND(F20="Maximize",G20="Lock"),IF(((J20-I20)/ABS(I20))+1&lt;0,0,IF(((J20-I20)/ABS(I20))+1&gt;$M$6,$M$6,((J20-I20)/ABS(I20))+1)),IF(AND(F20="Minimize",G20="Unlock"),IF(((I20-J20)/ABS(I20))+1&lt;0,0,((I20-J20)/ABS(I20))+1),IF(AND(F20="Minimize",G20="Lock"),IF(((I20-J20)/ABS(I20))+1&lt;0,0,IF(((I20-J20)/ABS(I20))+1&gt;$M$6,$M$6,((I20-J20)/ABS(I20))+1)),IF(F20="Min to Zero",IF(J20&gt;I20,0,IF(J20&lt;I20,0,100%)),IF(F20="Stabilize to Target",IF(J20-I20=0,100%,IF(ABS(J20-I20)&gt;=ABS(I20),0,ABS(IF(J20&gt;I20,1-((J20-I20)/I20),IF(J20&lt;I20,1-((I20-ABS(J20))/I20),0))))),IF(F20="Stabilize to Zero",IF(AND(J20&lt;=I20,J20&gt;=-I20),ABS(IF(J20&gt;I20,J20-I20,IF(J20&lt;I20,I20-ABS(J20),0)))/ABS(I20),0)))))))),0)</f>
        <v>1.3680555555555556</v>
      </c>
      <c r="M20" s="143">
        <f t="shared" si="0"/>
        <v>6.8402777777777785E-2</v>
      </c>
      <c r="N20" s="133"/>
      <c r="O20" s="134"/>
      <c r="P20" s="135"/>
      <c r="Q20" s="100"/>
      <c r="S20" s="136"/>
    </row>
    <row r="21" spans="2:19" ht="24.75" customHeight="1" x14ac:dyDescent="0.25">
      <c r="B21" s="443"/>
      <c r="C21" s="451"/>
      <c r="D21" s="125" t="s">
        <v>220</v>
      </c>
      <c r="E21" s="126" t="s">
        <v>159</v>
      </c>
      <c r="F21" s="127" t="s">
        <v>161</v>
      </c>
      <c r="G21" s="127" t="s">
        <v>157</v>
      </c>
      <c r="H21" s="128">
        <v>0.05</v>
      </c>
      <c r="I21" s="275">
        <f>HLOOKUP(B12,'DB SLS &amp; MKT'!B46:N47,2,0)</f>
        <v>0.9</v>
      </c>
      <c r="J21" s="275">
        <f>HLOOKUP(B12,'DB SLS &amp; MKT'!B46:N48,3,0)</f>
        <v>0.94999999999999984</v>
      </c>
      <c r="K21" s="130">
        <f>IF(F21="Maximize",J21-I21,IF(F21="Minimize",I21-J21,J21-I21))</f>
        <v>-4.9999999999999822E-2</v>
      </c>
      <c r="L21" s="131">
        <f>IFERROR(IF(AND(F21="Maximize",G21="Unlock"),IF(((J21-I21)/ABS(I21))+1&lt;0,0,((J21-I21)/ABS(I21))+1),IF(AND(F21="Maximize",G21="Lock"),IF(((J21-I21)/ABS(I21))+1&lt;0,0,IF(((J21-I21)/ABS(I21))+1&gt;$M$6,$M$6,((J21-I21)/ABS(I21))+1)),IF(AND(F21="Minimize",G21="Unlock"),IF(((I21-J21)/ABS(I21))+1&lt;0,0,((I21-J21)/ABS(I21))+1),IF(AND(F21="Minimize",G21="Lock"),IF(((I21-J21)/ABS(I21))+1&lt;0,0,IF(((I21-J21)/ABS(I21))+1&gt;$M$6,$M$6,((I21-J21)/ABS(I21))+1)),IF(F21="Min to Zero",IF(J21&gt;I21,0,IF(J21&lt;I21,0,100%)),IF(F21="Stabilize to Target",IF(J21-I21=0,100%,IF(ABS(J21-I21)&gt;=ABS(I21),0,ABS(IF(J21&gt;I21,1-((J21-I21)/I21),IF(J21&lt;I21,1-((I21-ABS(J21))/I21),0))))),IF(F21="Stabilize to Zero",IF(AND(J21&lt;=I21,J21&gt;=-I21),ABS(IF(J21&gt;I21,J21-I21,IF(J21&lt;I21,I21-ABS(J21),0)))/ABS(I21),0)))))))),0)</f>
        <v>0.94444444444444464</v>
      </c>
      <c r="M21" s="132">
        <f t="shared" si="0"/>
        <v>4.7222222222222235E-2</v>
      </c>
      <c r="N21" s="133"/>
      <c r="O21" s="134"/>
      <c r="P21" s="135"/>
      <c r="Q21" s="100"/>
      <c r="S21" s="136"/>
    </row>
    <row r="22" spans="2:19" ht="39.75" customHeight="1" x14ac:dyDescent="0.25">
      <c r="B22" s="443"/>
      <c r="C22" s="452"/>
      <c r="D22" s="148" t="s">
        <v>263</v>
      </c>
      <c r="E22" s="279" t="s">
        <v>318</v>
      </c>
      <c r="F22" s="127" t="s">
        <v>161</v>
      </c>
      <c r="G22" s="127" t="s">
        <v>157</v>
      </c>
      <c r="H22" s="149">
        <v>0.05</v>
      </c>
      <c r="I22" s="150">
        <f>HLOOKUP(B12,'DB SLS &amp; MKT'!B54:N55,2,0)</f>
        <v>1.1999999999999999E-2</v>
      </c>
      <c r="J22" s="151">
        <f>HLOOKUP(B12,'DB SLS &amp; MKT'!B54:N56,3,0)</f>
        <v>1.025E-2</v>
      </c>
      <c r="K22" s="152">
        <f t="shared" ref="K22" si="5">IF(F22="Maximize",J22-I22,IF(F22="Minimize",I22-J22,J22-I22))</f>
        <v>1.7499999999999981E-3</v>
      </c>
      <c r="L22" s="153">
        <f t="shared" ref="L22" si="6">IFERROR(IF(AND(F22="Maximize",G22="Unlock"),IF(((J22-I22)/ABS(I22))+1&lt;0,0,((J22-I22)/ABS(I22))+1),IF(AND(F22="Maximize",G22="Lock"),IF(((J22-I22)/ABS(I22))+1&lt;0,0,IF(((J22-I22)/ABS(I22))+1&gt;$M$6,$M$6,((J22-I22)/ABS(I22))+1)),IF(AND(F22="Minimize",G22="Unlock"),IF(((I22-J22)/ABS(I22))+1&lt;0,0,((I22-J22)/ABS(I22))+1),IF(AND(F22="Minimize",G22="Lock"),IF(((I22-J22)/ABS(I22))+1&lt;0,0,IF(((I22-J22)/ABS(I22))+1&gt;$M$6,$M$6,((I22-J22)/ABS(I22))+1)),IF(F22="Min to Zero",IF(J22&gt;I22,0,IF(J22&lt;I22,0,100%)),IF(F22="Stabilize to Target",IF(J22-I22=0,100%,IF(ABS(J22-I22)&gt;=ABS(I22),0,ABS(IF(J22&gt;I22,1-((J22-I22)/I22),IF(J22&lt;I22,1-((I22-ABS(J22))/I22),0))))),IF(F22="Stabilize to Zero",IF(AND(J22&lt;=I22,J22&gt;=-I22),ABS(IF(J22&gt;I22,J22-I22,IF(J22&lt;I22,I22-ABS(J22),0)))/ABS(I22),0)))))))),0)</f>
        <v>1.1458333333333333</v>
      </c>
      <c r="M22" s="154">
        <f t="shared" si="0"/>
        <v>5.7291666666666664E-2</v>
      </c>
      <c r="N22" s="133"/>
      <c r="O22" s="134"/>
      <c r="P22" s="135"/>
      <c r="Q22" s="100"/>
      <c r="S22" s="136"/>
    </row>
    <row r="23" spans="2:19" x14ac:dyDescent="0.25">
      <c r="B23" s="443"/>
      <c r="C23" s="446" t="s">
        <v>163</v>
      </c>
      <c r="D23" s="446"/>
      <c r="E23" s="446"/>
      <c r="F23" s="446"/>
      <c r="G23" s="446"/>
      <c r="H23" s="155">
        <f>SUM(H16:H22)</f>
        <v>0.39999999999999997</v>
      </c>
      <c r="I23" s="156"/>
      <c r="J23" s="156"/>
      <c r="K23" s="156"/>
      <c r="L23" s="156"/>
      <c r="M23" s="157">
        <f>SUM(M16:M22)</f>
        <v>0.35145921340877639</v>
      </c>
      <c r="P23" s="134"/>
      <c r="Q23" s="135"/>
    </row>
    <row r="24" spans="2:19" ht="24.75" customHeight="1" x14ac:dyDescent="0.25">
      <c r="B24" s="447" t="s">
        <v>243</v>
      </c>
      <c r="C24" s="448" t="s">
        <v>164</v>
      </c>
      <c r="D24" s="125" t="s">
        <v>267</v>
      </c>
      <c r="E24" s="126" t="s">
        <v>326</v>
      </c>
      <c r="F24" s="127" t="s">
        <v>156</v>
      </c>
      <c r="G24" s="127" t="s">
        <v>157</v>
      </c>
      <c r="H24" s="128">
        <v>0.05</v>
      </c>
      <c r="I24" s="275">
        <v>1</v>
      </c>
      <c r="J24" s="275">
        <v>1</v>
      </c>
      <c r="K24" s="159">
        <f t="shared" ref="K24:K32" si="7">IF(F24="Maximize",J24-I24,IF(F24="Minimize",I24-J24,J24-I24))</f>
        <v>0</v>
      </c>
      <c r="L24" s="160">
        <f t="shared" ref="L24:L32" si="8">IFERROR(IF(AND(F24="Maximize",G24="Unlock"),IF(((J24-I24)/ABS(I24))+1&lt;0,0,((J24-I24)/ABS(I24))+1),IF(AND(F24="Maximize",G24="Lock"),IF(((J24-I24)/ABS(I24))+1&lt;0,0,IF(((J24-I24)/ABS(I24))+1&gt;$M$6,$M$6,((J24-I24)/ABS(I24))+1)),IF(AND(F24="Minimize",G24="Unlock"),IF(((I24-J24)/ABS(I24))+1&lt;0,0,((I24-J24)/ABS(I24))+1),IF(AND(F24="Minimize",G24="Lock"),IF(((I24-J24)/ABS(I24))+1&lt;0,0,IF(((I24-J24)/ABS(I24))+1&gt;$M$6,$M$6,((I24-J24)/ABS(I24))+1)),IF(F24="Min to Zero",IF(J24&gt;I24,0,IF(J24&lt;I24,0,100%)),IF(F24="Stabilize to Target",IF(J24-I24=0,100%,IF(ABS(J24-I24)&gt;=ABS(I24),0,ABS(IF(J24&gt;I24,1-((J24-I24)/I24),IF(J24&lt;I24,1-((I24-ABS(J24))/I24),0))))),IF(F24="Stabilize to Zero",IF(AND(J24&lt;=I24,J24&gt;=-I24),ABS(IF(J24&gt;I24,J24-I24,IF(J24&lt;I24,I24-ABS(J24),0)))/ABS(I24),0)))))))),0)</f>
        <v>1</v>
      </c>
      <c r="M24" s="132">
        <f t="shared" ref="M24:M32" si="9">L24*H24</f>
        <v>0.05</v>
      </c>
    </row>
    <row r="25" spans="2:19" ht="24.75" customHeight="1" x14ac:dyDescent="0.25">
      <c r="B25" s="447"/>
      <c r="C25" s="448"/>
      <c r="D25" s="138" t="s">
        <v>266</v>
      </c>
      <c r="E25" s="126" t="s">
        <v>326</v>
      </c>
      <c r="F25" s="127" t="s">
        <v>156</v>
      </c>
      <c r="G25" s="127" t="s">
        <v>157</v>
      </c>
      <c r="H25" s="139">
        <v>0.04</v>
      </c>
      <c r="I25" s="161">
        <v>4</v>
      </c>
      <c r="J25" s="162">
        <v>4</v>
      </c>
      <c r="K25" s="163">
        <f t="shared" si="7"/>
        <v>0</v>
      </c>
      <c r="L25" s="160">
        <f t="shared" si="8"/>
        <v>1</v>
      </c>
      <c r="M25" s="143">
        <f t="shared" si="9"/>
        <v>0.04</v>
      </c>
    </row>
    <row r="26" spans="2:19" ht="57.75" customHeight="1" x14ac:dyDescent="0.25">
      <c r="B26" s="447"/>
      <c r="C26" s="448"/>
      <c r="D26" s="138" t="s">
        <v>8</v>
      </c>
      <c r="E26" s="126" t="s">
        <v>327</v>
      </c>
      <c r="F26" s="127" t="s">
        <v>165</v>
      </c>
      <c r="G26" s="127" t="s">
        <v>157</v>
      </c>
      <c r="H26" s="139">
        <v>0.05</v>
      </c>
      <c r="I26" s="161">
        <f>HLOOKUP(B12,'DB SLS &amp; MKT'!B62:N63,2,0)</f>
        <v>0</v>
      </c>
      <c r="J26" s="162">
        <f>HLOOKUP(B12,'DB SLS &amp; MKT'!B62:N64,3,0)</f>
        <v>0</v>
      </c>
      <c r="K26" s="163">
        <f t="shared" si="7"/>
        <v>0</v>
      </c>
      <c r="L26" s="160">
        <f t="shared" si="8"/>
        <v>1</v>
      </c>
      <c r="M26" s="143">
        <f t="shared" si="9"/>
        <v>0.05</v>
      </c>
    </row>
    <row r="27" spans="2:19" ht="57.75" customHeight="1" x14ac:dyDescent="0.25">
      <c r="B27" s="447"/>
      <c r="C27" s="448"/>
      <c r="D27" s="138" t="s">
        <v>314</v>
      </c>
      <c r="E27" s="126" t="s">
        <v>328</v>
      </c>
      <c r="F27" s="127" t="s">
        <v>165</v>
      </c>
      <c r="G27" s="127" t="s">
        <v>157</v>
      </c>
      <c r="H27" s="139">
        <v>0.05</v>
      </c>
      <c r="I27" s="161">
        <f>HLOOKUP(B12,'DB SLS &amp; MKT'!B70:N71,2,0)</f>
        <v>0</v>
      </c>
      <c r="J27" s="162">
        <f>HLOOKUP(B12,'DB SLS &amp; MKT'!B70:N72,3,0)</f>
        <v>0</v>
      </c>
      <c r="K27" s="163">
        <f t="shared" ref="K27" si="10">IF(F27="Maximize",J27-I27,IF(F27="Minimize",I27-J27,J27-I27))</f>
        <v>0</v>
      </c>
      <c r="L27" s="160">
        <f t="shared" si="8"/>
        <v>1</v>
      </c>
      <c r="M27" s="143">
        <f t="shared" ref="M27" si="11">L27*H27</f>
        <v>0.05</v>
      </c>
    </row>
    <row r="28" spans="2:19" ht="57.75" customHeight="1" x14ac:dyDescent="0.25">
      <c r="B28" s="447"/>
      <c r="C28" s="445"/>
      <c r="D28" s="138" t="s">
        <v>315</v>
      </c>
      <c r="E28" s="126" t="s">
        <v>328</v>
      </c>
      <c r="F28" s="127" t="s">
        <v>165</v>
      </c>
      <c r="G28" s="127" t="s">
        <v>157</v>
      </c>
      <c r="H28" s="139">
        <v>0.05</v>
      </c>
      <c r="I28" s="161">
        <f>HLOOKUP(B12,'DB SLS &amp; MKT'!B79:N80,2,0)</f>
        <v>0</v>
      </c>
      <c r="J28" s="162">
        <f>HLOOKUP(B12,'DB SLS &amp; MKT'!B79:N81,3,0)</f>
        <v>0</v>
      </c>
      <c r="K28" s="163">
        <f t="shared" si="7"/>
        <v>0</v>
      </c>
      <c r="L28" s="160">
        <f t="shared" si="8"/>
        <v>1</v>
      </c>
      <c r="M28" s="143">
        <f t="shared" si="9"/>
        <v>0.05</v>
      </c>
    </row>
    <row r="29" spans="2:19" ht="24.75" customHeight="1" x14ac:dyDescent="0.25">
      <c r="B29" s="447"/>
      <c r="C29" s="144" t="s">
        <v>166</v>
      </c>
      <c r="D29" s="138" t="s">
        <v>9</v>
      </c>
      <c r="E29" s="126" t="s">
        <v>318</v>
      </c>
      <c r="F29" s="127" t="s">
        <v>156</v>
      </c>
      <c r="G29" s="127" t="s">
        <v>157</v>
      </c>
      <c r="H29" s="139">
        <v>0.02</v>
      </c>
      <c r="I29" s="164">
        <v>0.75</v>
      </c>
      <c r="J29" s="163"/>
      <c r="K29" s="163">
        <f t="shared" si="7"/>
        <v>-0.75</v>
      </c>
      <c r="L29" s="160">
        <f t="shared" si="8"/>
        <v>0</v>
      </c>
      <c r="M29" s="143">
        <f t="shared" si="9"/>
        <v>0</v>
      </c>
    </row>
    <row r="30" spans="2:19" ht="43.5" customHeight="1" x14ac:dyDescent="0.25">
      <c r="B30" s="447"/>
      <c r="C30" s="450" t="s">
        <v>167</v>
      </c>
      <c r="D30" s="148" t="s">
        <v>245</v>
      </c>
      <c r="E30" s="126" t="s">
        <v>318</v>
      </c>
      <c r="F30" s="127" t="s">
        <v>156</v>
      </c>
      <c r="G30" s="127" t="s">
        <v>157</v>
      </c>
      <c r="H30" s="149">
        <v>0.02</v>
      </c>
      <c r="I30" s="158">
        <v>8</v>
      </c>
      <c r="J30" s="301"/>
      <c r="K30" s="165">
        <f t="shared" si="7"/>
        <v>-8</v>
      </c>
      <c r="L30" s="166">
        <f t="shared" si="8"/>
        <v>0</v>
      </c>
      <c r="M30" s="154">
        <f t="shared" si="9"/>
        <v>0</v>
      </c>
    </row>
    <row r="31" spans="2:19" ht="43.5" customHeight="1" x14ac:dyDescent="0.25">
      <c r="B31" s="447"/>
      <c r="C31" s="451"/>
      <c r="D31" s="148" t="s">
        <v>264</v>
      </c>
      <c r="E31" s="126" t="s">
        <v>318</v>
      </c>
      <c r="F31" s="127" t="s">
        <v>161</v>
      </c>
      <c r="G31" s="127" t="s">
        <v>157</v>
      </c>
      <c r="H31" s="149">
        <v>0.02</v>
      </c>
      <c r="I31" s="291">
        <f>HLOOKUP(B12,'DB SLS &amp; MKT'!B88:N92,5,0)</f>
        <v>14</v>
      </c>
      <c r="J31" s="301">
        <f>HLOOKUP(B12,'DB SLS &amp; MKT'!B88:N93,6,0)</f>
        <v>13.914285714285715</v>
      </c>
      <c r="K31" s="165">
        <f t="shared" si="7"/>
        <v>8.571428571428541E-2</v>
      </c>
      <c r="L31" s="166">
        <f t="shared" si="8"/>
        <v>1.0061224489795919</v>
      </c>
      <c r="M31" s="154">
        <f t="shared" si="9"/>
        <v>2.0122448979591839E-2</v>
      </c>
    </row>
    <row r="32" spans="2:19" ht="43.5" customHeight="1" x14ac:dyDescent="0.25">
      <c r="B32" s="447"/>
      <c r="C32" s="452"/>
      <c r="D32" s="148" t="s">
        <v>265</v>
      </c>
      <c r="E32" s="126" t="s">
        <v>318</v>
      </c>
      <c r="F32" s="127" t="s">
        <v>156</v>
      </c>
      <c r="G32" s="127" t="s">
        <v>157</v>
      </c>
      <c r="H32" s="149">
        <v>0.02</v>
      </c>
      <c r="I32" s="158">
        <v>5</v>
      </c>
      <c r="J32" s="301"/>
      <c r="K32" s="165">
        <f t="shared" si="7"/>
        <v>-5</v>
      </c>
      <c r="L32" s="166">
        <f t="shared" si="8"/>
        <v>0</v>
      </c>
      <c r="M32" s="154">
        <f t="shared" si="9"/>
        <v>0</v>
      </c>
    </row>
    <row r="33" spans="1:19" x14ac:dyDescent="0.25">
      <c r="B33" s="447"/>
      <c r="C33" s="449" t="s">
        <v>242</v>
      </c>
      <c r="D33" s="449"/>
      <c r="E33" s="449"/>
      <c r="F33" s="449"/>
      <c r="G33" s="449"/>
      <c r="H33" s="167">
        <f>SUM(H24:H32)</f>
        <v>0.32000000000000006</v>
      </c>
      <c r="I33" s="168"/>
      <c r="J33" s="168"/>
      <c r="K33" s="168"/>
      <c r="L33" s="168"/>
      <c r="M33" s="169">
        <f>SUM(M24:M32)</f>
        <v>0.2601224489795918</v>
      </c>
    </row>
    <row r="34" spans="1:19" ht="34.5" customHeight="1" x14ac:dyDescent="0.25">
      <c r="B34" s="456"/>
      <c r="C34" s="444" t="s">
        <v>268</v>
      </c>
      <c r="D34" s="138" t="s">
        <v>15</v>
      </c>
      <c r="E34" s="126" t="s">
        <v>159</v>
      </c>
      <c r="F34" s="127" t="s">
        <v>161</v>
      </c>
      <c r="G34" s="127" t="s">
        <v>157</v>
      </c>
      <c r="H34" s="139">
        <v>0.02</v>
      </c>
      <c r="I34" s="173">
        <v>1.2E-2</v>
      </c>
      <c r="J34" s="145">
        <v>1.9E-2</v>
      </c>
      <c r="K34" s="174">
        <f t="shared" ref="K34:K48" si="12">IF(F34="Maximize",J34-I34,IF(F34="Minimize",I34-J34,J34-I34))</f>
        <v>-6.9999999999999993E-3</v>
      </c>
      <c r="L34" s="131">
        <f t="shared" ref="L34:L39" si="13">IFERROR(IF(AND(F34="Maximize",G34="Unlock"),IF(((J34-I34)/ABS(I34))+1&lt;0,0,((J34-I34)/ABS(I34))+1),IF(AND(F34="Maximize",G34="Lock"),IF(((J34-I34)/ABS(I34))+1&lt;0,0,IF(((J34-I34)/ABS(I34))+1&gt;$M$6,$M$6,((J34-I34)/ABS(I34))+1)),IF(AND(F34="Minimize",G34="Unlock"),IF(((I34-J34)/ABS(I34))+1&lt;0,0,((I34-J34)/ABS(I34))+1),IF(AND(F34="Minimize",G34="Lock"),IF(((I34-J34)/ABS(I34))+1&lt;0,0,IF(((I34-J34)/ABS(I34))+1&gt;$M$6,$M$6,((I34-J34)/ABS(I34))+1)),IF(F34="Min to Zero",IF(J34&gt;I34,0,IF(J34&lt;I34,0,100%)),IF(F34="Stabilize to Target",IF(J34-I34=0,100%,IF(ABS(J34-I34)&gt;=ABS(I34),0,ABS(IF(J34&gt;I34,1-((J34-I34)/I34),IF(J34&lt;I34,1-((I34-ABS(J34))/I34),0))))),IF(F34="Stabilize to Zero",IF(AND(J34&lt;=I34,J34&gt;=-I34),ABS(IF(J34&gt;I34,J34-I34,IF(J34&lt;I34,I34-ABS(J34),0)))/ABS(I34),0)))))))),0)</f>
        <v>0.41666666666666674</v>
      </c>
      <c r="M34" s="143">
        <f t="shared" ref="M34:M39" si="14">L34*H34</f>
        <v>8.333333333333335E-3</v>
      </c>
    </row>
    <row r="35" spans="1:19" ht="36.75" customHeight="1" x14ac:dyDescent="0.25">
      <c r="A35" s="98" t="s">
        <v>172</v>
      </c>
      <c r="B35" s="456"/>
      <c r="C35" s="448"/>
      <c r="D35" s="148" t="s">
        <v>18</v>
      </c>
      <c r="E35" s="126" t="s">
        <v>159</v>
      </c>
      <c r="F35" s="127" t="s">
        <v>161</v>
      </c>
      <c r="G35" s="127" t="s">
        <v>157</v>
      </c>
      <c r="H35" s="149">
        <v>0.02</v>
      </c>
      <c r="I35" s="176">
        <v>5.0000000000000001E-4</v>
      </c>
      <c r="J35" s="177">
        <v>6.0000000000000002E-5</v>
      </c>
      <c r="K35" s="178">
        <f t="shared" si="12"/>
        <v>4.4000000000000002E-4</v>
      </c>
      <c r="L35" s="131">
        <f t="shared" si="13"/>
        <v>1.5</v>
      </c>
      <c r="M35" s="154">
        <f t="shared" si="14"/>
        <v>0.03</v>
      </c>
    </row>
    <row r="36" spans="1:19" ht="36.75" customHeight="1" x14ac:dyDescent="0.25">
      <c r="A36" s="98" t="s">
        <v>172</v>
      </c>
      <c r="B36" s="456"/>
      <c r="C36" s="448"/>
      <c r="D36" s="148" t="s">
        <v>222</v>
      </c>
      <c r="E36" s="126" t="s">
        <v>159</v>
      </c>
      <c r="F36" s="127" t="s">
        <v>156</v>
      </c>
      <c r="G36" s="127" t="s">
        <v>157</v>
      </c>
      <c r="H36" s="149">
        <v>0.02</v>
      </c>
      <c r="I36" s="275">
        <v>0.98</v>
      </c>
      <c r="J36" s="287"/>
      <c r="K36" s="178">
        <f t="shared" ref="K36" si="15">IF(F36="Maximize",J36-I36,IF(F36="Minimize",I36-J36,J36-I36))</f>
        <v>-0.98</v>
      </c>
      <c r="L36" s="131">
        <f t="shared" ref="L36" si="16">IFERROR(IF(AND(F36="Maximize",G36="Unlock"),IF(((J36-I36)/ABS(I36))+1&lt;0,0,((J36-I36)/ABS(I36))+1),IF(AND(F36="Maximize",G36="Lock"),IF(((J36-I36)/ABS(I36))+1&lt;0,0,IF(((J36-I36)/ABS(I36))+1&gt;$M$6,$M$6,((J36-I36)/ABS(I36))+1)),IF(AND(F36="Minimize",G36="Unlock"),IF(((I36-J36)/ABS(I36))+1&lt;0,0,((I36-J36)/ABS(I36))+1),IF(AND(F36="Minimize",G36="Lock"),IF(((I36-J36)/ABS(I36))+1&lt;0,0,IF(((I36-J36)/ABS(I36))+1&gt;$M$6,$M$6,((I36-J36)/ABS(I36))+1)),IF(F36="Min to Zero",IF(J36&gt;I36,0,IF(J36&lt;I36,0,100%)),IF(F36="Stabilize to Target",IF(J36-I36=0,100%,IF(ABS(J36-I36)&gt;=ABS(I36),0,ABS(IF(J36&gt;I36,1-((J36-I36)/I36),IF(J36&lt;I36,1-((I36-ABS(J36))/I36),0))))),IF(F36="Stabilize to Zero",IF(AND(J36&lt;=I36,J36&gt;=-I36),ABS(IF(J36&gt;I36,J36-I36,IF(J36&lt;I36,I36-ABS(J36),0)))/ABS(I36),0)))))))),0)</f>
        <v>0</v>
      </c>
      <c r="M36" s="154">
        <f t="shared" ref="M36" si="17">L36*H36</f>
        <v>0</v>
      </c>
    </row>
    <row r="37" spans="1:19" ht="36.75" customHeight="1" x14ac:dyDescent="0.25">
      <c r="A37" s="98" t="s">
        <v>172</v>
      </c>
      <c r="B37" s="456"/>
      <c r="C37" s="445"/>
      <c r="D37" s="148" t="s">
        <v>223</v>
      </c>
      <c r="E37" s="126" t="s">
        <v>159</v>
      </c>
      <c r="F37" s="127" t="s">
        <v>165</v>
      </c>
      <c r="G37" s="127" t="s">
        <v>157</v>
      </c>
      <c r="H37" s="149">
        <v>0.02</v>
      </c>
      <c r="I37" s="158">
        <v>0</v>
      </c>
      <c r="J37" s="321">
        <v>0</v>
      </c>
      <c r="K37" s="178">
        <f t="shared" si="12"/>
        <v>0</v>
      </c>
      <c r="L37" s="131">
        <f t="shared" si="13"/>
        <v>1</v>
      </c>
      <c r="M37" s="154">
        <f t="shared" si="14"/>
        <v>0.02</v>
      </c>
    </row>
    <row r="38" spans="1:19" ht="42.75" customHeight="1" x14ac:dyDescent="0.25">
      <c r="A38" s="98" t="s">
        <v>172</v>
      </c>
      <c r="B38" s="456"/>
      <c r="C38" s="450" t="s">
        <v>173</v>
      </c>
      <c r="D38" s="148" t="s">
        <v>316</v>
      </c>
      <c r="E38" s="126" t="s">
        <v>155</v>
      </c>
      <c r="F38" s="127" t="s">
        <v>161</v>
      </c>
      <c r="G38" s="127" t="s">
        <v>157</v>
      </c>
      <c r="H38" s="149">
        <v>0.02</v>
      </c>
      <c r="I38" s="158">
        <v>23</v>
      </c>
      <c r="J38" s="321"/>
      <c r="K38" s="178">
        <f t="shared" si="12"/>
        <v>23</v>
      </c>
      <c r="L38" s="153">
        <f t="shared" si="13"/>
        <v>1.5</v>
      </c>
      <c r="M38" s="154">
        <f t="shared" si="14"/>
        <v>0.03</v>
      </c>
    </row>
    <row r="39" spans="1:19" ht="42" customHeight="1" x14ac:dyDescent="0.25">
      <c r="A39" s="98" t="s">
        <v>172</v>
      </c>
      <c r="B39" s="456"/>
      <c r="C39" s="452"/>
      <c r="D39" s="148" t="s">
        <v>317</v>
      </c>
      <c r="E39" s="126" t="s">
        <v>155</v>
      </c>
      <c r="F39" s="127" t="s">
        <v>165</v>
      </c>
      <c r="G39" s="127" t="s">
        <v>157</v>
      </c>
      <c r="H39" s="149">
        <v>0.02</v>
      </c>
      <c r="I39" s="281">
        <v>0</v>
      </c>
      <c r="J39" s="321">
        <v>0</v>
      </c>
      <c r="K39" s="178">
        <f t="shared" si="12"/>
        <v>0</v>
      </c>
      <c r="L39" s="153">
        <f t="shared" si="13"/>
        <v>1</v>
      </c>
      <c r="M39" s="154">
        <f t="shared" si="14"/>
        <v>0.02</v>
      </c>
    </row>
    <row r="40" spans="1:19" x14ac:dyDescent="0.25">
      <c r="B40" s="456"/>
      <c r="C40" s="457" t="s">
        <v>168</v>
      </c>
      <c r="D40" s="457"/>
      <c r="E40" s="457"/>
      <c r="F40" s="457"/>
      <c r="G40" s="457"/>
      <c r="H40" s="179">
        <f>SUM(H34:H39)</f>
        <v>0.12000000000000001</v>
      </c>
      <c r="I40" s="180"/>
      <c r="J40" s="180"/>
      <c r="K40" s="180"/>
      <c r="L40" s="180"/>
      <c r="M40" s="181">
        <f>SUM(M34:M39)</f>
        <v>0.10833333333333334</v>
      </c>
    </row>
    <row r="41" spans="1:19" s="134" customFormat="1" ht="24.75" customHeight="1" x14ac:dyDescent="0.25">
      <c r="B41" s="453" t="s">
        <v>174</v>
      </c>
      <c r="C41" s="448" t="s">
        <v>175</v>
      </c>
      <c r="D41" s="124" t="s">
        <v>20</v>
      </c>
      <c r="E41" s="182" t="s">
        <v>159</v>
      </c>
      <c r="F41" s="127" t="s">
        <v>156</v>
      </c>
      <c r="G41" s="127" t="s">
        <v>157</v>
      </c>
      <c r="H41" s="128">
        <v>0.02</v>
      </c>
      <c r="I41" s="158">
        <v>3</v>
      </c>
      <c r="J41" s="158">
        <v>3</v>
      </c>
      <c r="K41" s="170">
        <f t="shared" ref="K41:K45" si="18">IF(F41="Maximize",J41-I41,IF(F41="Minimize",I41-J41,J41-I41))</f>
        <v>0</v>
      </c>
      <c r="L41" s="131">
        <f t="shared" ref="L41:L48" si="19">IFERROR(IF(AND(F41="Maximize",G41="Unlock"),IF(((J41-I41)/ABS(I41))+1&lt;0,0,((J41-I41)/ABS(I41))+1),IF(AND(F41="Maximize",G41="Lock"),IF(((J41-I41)/ABS(I41))+1&lt;0,0,IF(((J41-I41)/ABS(I41))+1&gt;$M$6,$M$6,((J41-I41)/ABS(I41))+1)),IF(AND(F41="Minimize",G41="Unlock"),IF(((I41-J41)/ABS(I41))+1&lt;0,0,((I41-J41)/ABS(I41))+1),IF(AND(F41="Minimize",G41="Lock"),IF(((I41-J41)/ABS(I41))+1&lt;0,0,IF(((I41-J41)/ABS(I41))+1&gt;$M$6,$M$6,((I41-J41)/ABS(I41))+1)),IF(F41="Min to Zero",IF(J41&gt;I41,0,IF(J41&lt;I41,0,100%)),IF(F41="Stabilize to Target",IF(J41-I41=0,100%,IF(ABS(J41-I41)&gt;=ABS(I41),0,ABS(IF(J41&gt;I41,1-((J41-I41)/I41),IF(J41&lt;I41,1-((I41-ABS(J41))/I41),0))))),IF(F41="Stabilize to Zero",IF(AND(J41&lt;=I41,J41&gt;=-I41),ABS(IF(J41&gt;I41,J41-I41,IF(J41&lt;I41,I41-ABS(J41),0)))/ABS(I41),0)))))))),0)</f>
        <v>1</v>
      </c>
      <c r="M41" s="132">
        <f>L41*H41</f>
        <v>0.02</v>
      </c>
      <c r="Q41" s="99"/>
      <c r="R41" s="100"/>
      <c r="S41" s="99"/>
    </row>
    <row r="42" spans="1:19" s="134" customFormat="1" ht="24.75" customHeight="1" x14ac:dyDescent="0.25">
      <c r="B42" s="453"/>
      <c r="C42" s="448"/>
      <c r="D42" s="137" t="s">
        <v>21</v>
      </c>
      <c r="E42" s="182" t="s">
        <v>159</v>
      </c>
      <c r="F42" s="127" t="s">
        <v>156</v>
      </c>
      <c r="G42" s="127" t="s">
        <v>157</v>
      </c>
      <c r="H42" s="149">
        <v>0.02</v>
      </c>
      <c r="I42" s="163">
        <f>HLOOKUP(B12,'DB SLS &amp; MKT'!B100:N101,2,0)</f>
        <v>0.75</v>
      </c>
      <c r="J42" s="183">
        <f>HLOOKUP(B12,'DB SLS &amp; MKT'!B100:N102,3,0)</f>
        <v>1</v>
      </c>
      <c r="K42" s="184">
        <f t="shared" si="18"/>
        <v>0.25</v>
      </c>
      <c r="L42" s="131">
        <f t="shared" si="19"/>
        <v>1.3333333333333333</v>
      </c>
      <c r="M42" s="143">
        <f t="shared" ref="M42:M43" si="20">L42*H42</f>
        <v>2.6666666666666665E-2</v>
      </c>
      <c r="Q42" s="99"/>
      <c r="R42" s="100"/>
      <c r="S42" s="99"/>
    </row>
    <row r="43" spans="1:19" s="134" customFormat="1" ht="24.75" customHeight="1" x14ac:dyDescent="0.25">
      <c r="B43" s="453"/>
      <c r="C43" s="448"/>
      <c r="D43" s="137" t="s">
        <v>250</v>
      </c>
      <c r="E43" s="182" t="s">
        <v>159</v>
      </c>
      <c r="F43" s="127" t="s">
        <v>165</v>
      </c>
      <c r="G43" s="127" t="s">
        <v>157</v>
      </c>
      <c r="H43" s="149">
        <v>0.02</v>
      </c>
      <c r="I43" s="185">
        <f>HLOOKUP(B12,'DB SLS &amp; MKT'!B108:N109,2,0)</f>
        <v>0</v>
      </c>
      <c r="J43" s="294">
        <f>HLOOKUP(B12,'DB SLS &amp; MKT'!B108:N110,3,0)</f>
        <v>0</v>
      </c>
      <c r="K43" s="184">
        <f t="shared" si="18"/>
        <v>0</v>
      </c>
      <c r="L43" s="131">
        <f t="shared" si="19"/>
        <v>1</v>
      </c>
      <c r="M43" s="143">
        <f t="shared" si="20"/>
        <v>0.02</v>
      </c>
      <c r="Q43" s="99"/>
      <c r="R43" s="100"/>
      <c r="S43" s="99"/>
    </row>
    <row r="44" spans="1:19" s="134" customFormat="1" ht="24.75" customHeight="1" x14ac:dyDescent="0.25">
      <c r="B44" s="453"/>
      <c r="C44" s="448"/>
      <c r="D44" s="137" t="s">
        <v>225</v>
      </c>
      <c r="E44" s="182" t="s">
        <v>159</v>
      </c>
      <c r="F44" s="127" t="s">
        <v>156</v>
      </c>
      <c r="G44" s="127" t="s">
        <v>157</v>
      </c>
      <c r="H44" s="149">
        <v>0.02</v>
      </c>
      <c r="I44" s="163">
        <v>1</v>
      </c>
      <c r="J44" s="183"/>
      <c r="K44" s="184">
        <f t="shared" si="18"/>
        <v>-1</v>
      </c>
      <c r="L44" s="131">
        <f t="shared" si="19"/>
        <v>0</v>
      </c>
      <c r="M44" s="154">
        <f>L44*H44</f>
        <v>0</v>
      </c>
      <c r="Q44" s="99"/>
      <c r="R44" s="100"/>
      <c r="S44" s="99"/>
    </row>
    <row r="45" spans="1:19" s="134" customFormat="1" ht="24.75" customHeight="1" x14ac:dyDescent="0.25">
      <c r="B45" s="453"/>
      <c r="C45" s="445"/>
      <c r="D45" s="137" t="s">
        <v>226</v>
      </c>
      <c r="E45" s="182" t="s">
        <v>159</v>
      </c>
      <c r="F45" s="127" t="s">
        <v>156</v>
      </c>
      <c r="G45" s="127" t="s">
        <v>157</v>
      </c>
      <c r="H45" s="149">
        <v>0.02</v>
      </c>
      <c r="I45" s="163">
        <v>1</v>
      </c>
      <c r="J45" s="183"/>
      <c r="K45" s="184">
        <f t="shared" si="18"/>
        <v>-1</v>
      </c>
      <c r="L45" s="131">
        <f t="shared" si="19"/>
        <v>0</v>
      </c>
      <c r="M45" s="154">
        <f>L45*H45</f>
        <v>0</v>
      </c>
      <c r="Q45" s="99"/>
      <c r="R45" s="100"/>
      <c r="S45" s="99"/>
    </row>
    <row r="46" spans="1:19" s="134" customFormat="1" ht="37.5" customHeight="1" x14ac:dyDescent="0.25">
      <c r="B46" s="453"/>
      <c r="C46" s="444" t="s">
        <v>176</v>
      </c>
      <c r="D46" s="148" t="s">
        <v>272</v>
      </c>
      <c r="E46" s="182" t="s">
        <v>159</v>
      </c>
      <c r="F46" s="127" t="s">
        <v>156</v>
      </c>
      <c r="G46" s="127" t="s">
        <v>157</v>
      </c>
      <c r="H46" s="149">
        <v>0.02</v>
      </c>
      <c r="I46" s="163">
        <v>1</v>
      </c>
      <c r="J46" s="183"/>
      <c r="K46" s="184">
        <f t="shared" si="12"/>
        <v>-1</v>
      </c>
      <c r="L46" s="131">
        <f t="shared" si="19"/>
        <v>0</v>
      </c>
      <c r="M46" s="132">
        <f>L46*H46</f>
        <v>0</v>
      </c>
      <c r="Q46" s="99"/>
      <c r="R46" s="100"/>
      <c r="S46" s="99"/>
    </row>
    <row r="47" spans="1:19" s="134" customFormat="1" ht="40.5" customHeight="1" x14ac:dyDescent="0.25">
      <c r="B47" s="453"/>
      <c r="C47" s="445"/>
      <c r="D47" s="148" t="s">
        <v>273</v>
      </c>
      <c r="E47" s="182" t="s">
        <v>159</v>
      </c>
      <c r="F47" s="127" t="s">
        <v>165</v>
      </c>
      <c r="G47" s="127" t="s">
        <v>157</v>
      </c>
      <c r="H47" s="149">
        <v>0.02</v>
      </c>
      <c r="I47" s="142">
        <f>HLOOKUP(B12,'DB SLS &amp; MKT'!B117:N118,2,0)</f>
        <v>0</v>
      </c>
      <c r="J47" s="294"/>
      <c r="K47" s="184">
        <f t="shared" si="12"/>
        <v>0</v>
      </c>
      <c r="L47" s="131">
        <f t="shared" si="19"/>
        <v>1</v>
      </c>
      <c r="M47" s="143">
        <f t="shared" ref="M47:M48" si="21">L47*H47</f>
        <v>0.02</v>
      </c>
      <c r="Q47" s="99"/>
      <c r="R47" s="100"/>
      <c r="S47" s="99"/>
    </row>
    <row r="48" spans="1:19" s="134" customFormat="1" ht="46.5" customHeight="1" x14ac:dyDescent="0.25">
      <c r="B48" s="453"/>
      <c r="C48" s="137" t="s">
        <v>177</v>
      </c>
      <c r="D48" s="148" t="s">
        <v>229</v>
      </c>
      <c r="E48" s="182" t="s">
        <v>159</v>
      </c>
      <c r="F48" s="127" t="s">
        <v>156</v>
      </c>
      <c r="G48" s="127" t="s">
        <v>157</v>
      </c>
      <c r="H48" s="149">
        <v>0.02</v>
      </c>
      <c r="I48" s="163">
        <v>1</v>
      </c>
      <c r="J48" s="183"/>
      <c r="K48" s="172">
        <f t="shared" si="12"/>
        <v>-1</v>
      </c>
      <c r="L48" s="131">
        <f t="shared" si="19"/>
        <v>0</v>
      </c>
      <c r="M48" s="143">
        <f t="shared" si="21"/>
        <v>0</v>
      </c>
      <c r="Q48" s="99"/>
      <c r="R48" s="100"/>
      <c r="S48" s="99"/>
    </row>
    <row r="49" spans="2:20" ht="16.5" thickBot="1" x14ac:dyDescent="0.3">
      <c r="B49" s="454"/>
      <c r="C49" s="455" t="s">
        <v>178</v>
      </c>
      <c r="D49" s="455"/>
      <c r="E49" s="455"/>
      <c r="F49" s="455"/>
      <c r="G49" s="455"/>
      <c r="H49" s="188">
        <f>SUM(H41:H48)</f>
        <v>0.16</v>
      </c>
      <c r="I49" s="189"/>
      <c r="J49" s="189"/>
      <c r="K49" s="189"/>
      <c r="L49" s="189"/>
      <c r="M49" s="190">
        <f>SUM(M41:M48)</f>
        <v>8.666666666666667E-2</v>
      </c>
    </row>
    <row r="50" spans="2:20" s="191" customFormat="1" ht="16.5" thickBot="1" x14ac:dyDescent="0.3">
      <c r="B50" s="192"/>
      <c r="C50" s="458" t="s">
        <v>179</v>
      </c>
      <c r="D50" s="458"/>
      <c r="E50" s="458"/>
      <c r="F50" s="458"/>
      <c r="G50" s="458"/>
      <c r="H50" s="193">
        <f>SUM(H49,H40,H23,H33)</f>
        <v>1</v>
      </c>
      <c r="I50" s="194"/>
      <c r="J50" s="459" t="s">
        <v>180</v>
      </c>
      <c r="K50" s="460"/>
      <c r="L50" s="461"/>
      <c r="M50" s="195">
        <f>SUM(M16:M22,M34:M39,M41:M48,M24:M32)</f>
        <v>0.80658166238836848</v>
      </c>
      <c r="Q50" s="196"/>
      <c r="R50" s="100"/>
      <c r="S50" s="196"/>
    </row>
    <row r="51" spans="2:20" s="197" customFormat="1" ht="16.5" thickBot="1" x14ac:dyDescent="0.3">
      <c r="B51" s="198"/>
      <c r="C51" s="198"/>
      <c r="D51" s="198"/>
      <c r="E51" s="198"/>
      <c r="F51" s="199"/>
      <c r="G51" s="199"/>
      <c r="H51" s="200"/>
      <c r="I51" s="201"/>
      <c r="J51" s="459" t="s">
        <v>181</v>
      </c>
      <c r="K51" s="460"/>
      <c r="L51" s="460"/>
      <c r="M51" s="202" t="str">
        <f>IF(AND(H50&gt;100%,H50,100%),"Error",IF(M50&gt;=$M$6,"HP",IF(AND(M50&lt;$M$7,M50&gt;=$L$7),"P",IF(AND(M50&lt;$M$8,M50&gt;=$L$8),"T",IF(AND(M50&lt;$M$9,M50&gt;=$L$9),"C",IF(M50&lt;$M$10,"U"))))))</f>
        <v>C</v>
      </c>
      <c r="Q51" s="196"/>
      <c r="R51" s="100"/>
      <c r="S51" s="196"/>
    </row>
    <row r="53" spans="2:20" ht="16.5" thickBot="1" x14ac:dyDescent="0.3"/>
    <row r="54" spans="2:20" ht="32.25" thickBot="1" x14ac:dyDescent="0.3">
      <c r="B54" s="203" t="s">
        <v>137</v>
      </c>
      <c r="C54" s="204" t="s">
        <v>138</v>
      </c>
      <c r="D54" s="204" t="s">
        <v>139</v>
      </c>
      <c r="E54" s="205"/>
      <c r="F54" s="205" t="s">
        <v>141</v>
      </c>
      <c r="G54" s="205" t="s">
        <v>142</v>
      </c>
      <c r="H54" s="206" t="s">
        <v>182</v>
      </c>
      <c r="I54" s="207" t="s">
        <v>183</v>
      </c>
      <c r="J54" s="206" t="s">
        <v>184</v>
      </c>
      <c r="K54" s="206" t="s">
        <v>144</v>
      </c>
      <c r="L54" s="206" t="s">
        <v>185</v>
      </c>
      <c r="M54" s="206" t="s">
        <v>186</v>
      </c>
      <c r="Q54" s="98"/>
      <c r="T54" s="99"/>
    </row>
    <row r="55" spans="2:20" ht="16.5" thickBot="1" x14ac:dyDescent="0.3">
      <c r="B55" s="462" t="s">
        <v>187</v>
      </c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4"/>
      <c r="Q55" s="98"/>
      <c r="T55" s="99"/>
    </row>
    <row r="56" spans="2:20" x14ac:dyDescent="0.25">
      <c r="B56" s="208"/>
      <c r="C56" s="209"/>
      <c r="D56" s="210"/>
      <c r="E56" s="210"/>
      <c r="F56" s="127" t="s">
        <v>156</v>
      </c>
      <c r="G56" s="127" t="s">
        <v>157</v>
      </c>
      <c r="H56" s="210"/>
      <c r="I56" s="211"/>
      <c r="J56" s="212"/>
      <c r="K56" s="212"/>
      <c r="L56" s="213">
        <f t="shared" ref="L56:L58" si="22">IFERROR(IF(AND(F56="Maximize",G56="Unlock"),IF(((J56-I56)/ABS(I56))+1&lt;0,0,((J56-I56)/ABS(I56))+1),IF(AND(F56="Maximize",G56="Lock"),IF(((J56-I56)/ABS(I56))+1&lt;0,0,IF(((J56-I56)/ABS(I56))+1&gt;$M$6,$M$6,((J56-I56)/ABS(I56))+1)),IF(AND(F56="Minimize",G56="Unlock"),IF(((I56-J56)/ABS(I56))+1&lt;0,0,((I56-J56)/ABS(I56))+1),IF(AND(F56="Minimize",G56="Lock"),IF(((I56-J56)/ABS(I56))+1&lt;0,0,IF(((I56-J56)/ABS(I56))+1&gt;$M$6,$M$6,((I56-J56)/ABS(I56))+1)),IF(F56="Min To Zero",IF(J56&gt;I56,0,IF(J56&lt;I56,0,100%))))))),0)</f>
        <v>0</v>
      </c>
      <c r="M56" s="214">
        <f>L56*H56</f>
        <v>0</v>
      </c>
      <c r="Q56" s="98"/>
      <c r="T56" s="99"/>
    </row>
    <row r="57" spans="2:20" x14ac:dyDescent="0.25">
      <c r="B57" s="215"/>
      <c r="C57" s="216"/>
      <c r="D57" s="217"/>
      <c r="E57" s="217"/>
      <c r="F57" s="127" t="s">
        <v>156</v>
      </c>
      <c r="G57" s="127" t="s">
        <v>157</v>
      </c>
      <c r="H57" s="217"/>
      <c r="I57" s="218"/>
      <c r="J57" s="219"/>
      <c r="K57" s="219"/>
      <c r="L57" s="220">
        <f t="shared" si="22"/>
        <v>0</v>
      </c>
      <c r="M57" s="221">
        <f>L57*H57</f>
        <v>0</v>
      </c>
      <c r="Q57" s="98"/>
      <c r="T57" s="99"/>
    </row>
    <row r="58" spans="2:20" ht="16.5" thickBot="1" x14ac:dyDescent="0.3">
      <c r="B58" s="222"/>
      <c r="C58" s="223"/>
      <c r="D58" s="224"/>
      <c r="E58" s="224"/>
      <c r="F58" s="127" t="s">
        <v>156</v>
      </c>
      <c r="G58" s="127" t="s">
        <v>157</v>
      </c>
      <c r="H58" s="224"/>
      <c r="I58" s="225"/>
      <c r="J58" s="226"/>
      <c r="K58" s="226"/>
      <c r="L58" s="227">
        <f t="shared" si="22"/>
        <v>0</v>
      </c>
      <c r="M58" s="228">
        <f>L58*H58</f>
        <v>0</v>
      </c>
      <c r="Q58" s="98"/>
      <c r="T58" s="99"/>
    </row>
    <row r="59" spans="2:20" ht="16.5" thickBot="1" x14ac:dyDescent="0.3">
      <c r="B59" s="465" t="s">
        <v>188</v>
      </c>
      <c r="C59" s="466"/>
      <c r="D59" s="229"/>
      <c r="E59" s="230"/>
      <c r="F59" s="230"/>
      <c r="G59" s="230"/>
      <c r="H59" s="230"/>
      <c r="I59" s="231"/>
      <c r="J59" s="465" t="s">
        <v>145</v>
      </c>
      <c r="K59" s="467"/>
      <c r="L59" s="466"/>
      <c r="M59" s="202">
        <f>SUM(M56:M58)+M50</f>
        <v>0.80658166238836848</v>
      </c>
      <c r="Q59" s="98"/>
      <c r="R59" s="237"/>
      <c r="T59" s="99"/>
    </row>
    <row r="60" spans="2:20" ht="16.5" thickBot="1" x14ac:dyDescent="0.3">
      <c r="B60" s="465" t="s">
        <v>189</v>
      </c>
      <c r="C60" s="466"/>
      <c r="D60" s="232"/>
      <c r="E60" s="233"/>
      <c r="F60" s="233"/>
      <c r="G60" s="233"/>
      <c r="H60" s="233"/>
      <c r="I60" s="234"/>
      <c r="J60" s="465" t="s">
        <v>181</v>
      </c>
      <c r="K60" s="471"/>
      <c r="L60" s="472"/>
      <c r="M60" s="202" t="str">
        <f>IF(M59&gt;=M6,"HP",IF(AND(M59&lt;M7,M59&gt;=L7),"P",IF(AND(M59&lt;M8,M59&gt;=L8),"T",IF(AND(M59&lt;M9,M59&gt;=L9),"C",IF(M59&lt;M10,"U")))))</f>
        <v>C</v>
      </c>
      <c r="Q60" s="98"/>
      <c r="R60" s="238"/>
      <c r="T60" s="99"/>
    </row>
    <row r="61" spans="2:20" x14ac:dyDescent="0.25">
      <c r="R61" s="238"/>
    </row>
    <row r="62" spans="2:20" hidden="1" x14ac:dyDescent="0.25">
      <c r="B62" s="235" t="s">
        <v>190</v>
      </c>
      <c r="C62" s="235"/>
      <c r="D62" s="235"/>
      <c r="E62" s="235"/>
      <c r="F62" s="235"/>
      <c r="G62" s="235"/>
      <c r="H62" s="235"/>
      <c r="I62" s="235"/>
      <c r="J62" s="235"/>
      <c r="K62" s="236"/>
      <c r="L62" s="236"/>
      <c r="M62" s="236"/>
      <c r="N62" s="236"/>
      <c r="O62" s="236"/>
      <c r="P62" s="236"/>
      <c r="Q62" s="236"/>
      <c r="R62" s="238"/>
    </row>
    <row r="63" spans="2:20" hidden="1" x14ac:dyDescent="0.25">
      <c r="B63" s="440" t="s">
        <v>191</v>
      </c>
      <c r="C63" s="474" t="str">
        <f>B62</f>
        <v>KEY BEHAVIOR INDICATOR (BASED CHITOSE CORE VALUE)</v>
      </c>
      <c r="D63" s="474"/>
      <c r="E63" s="474"/>
      <c r="F63" s="474"/>
      <c r="G63" s="474"/>
      <c r="H63" s="474"/>
      <c r="I63" s="474"/>
      <c r="J63" s="474"/>
      <c r="K63" s="474"/>
      <c r="L63" s="475"/>
      <c r="M63" s="485" t="s">
        <v>192</v>
      </c>
      <c r="N63" s="99"/>
      <c r="Q63" s="98"/>
      <c r="R63" s="238"/>
      <c r="S63" s="98"/>
    </row>
    <row r="64" spans="2:20" ht="16.5" hidden="1" thickBot="1" x14ac:dyDescent="0.3">
      <c r="B64" s="441"/>
      <c r="C64" s="534"/>
      <c r="D64" s="534"/>
      <c r="E64" s="534"/>
      <c r="F64" s="534"/>
      <c r="G64" s="534"/>
      <c r="H64" s="534"/>
      <c r="I64" s="534"/>
      <c r="J64" s="534"/>
      <c r="K64" s="534"/>
      <c r="L64" s="535"/>
      <c r="M64" s="536"/>
      <c r="N64" s="99"/>
      <c r="Q64" s="98"/>
      <c r="R64" s="238"/>
      <c r="S64" s="98"/>
    </row>
    <row r="65" spans="2:19" hidden="1" x14ac:dyDescent="0.25">
      <c r="B65" s="239">
        <v>1</v>
      </c>
      <c r="C65" s="537" t="s">
        <v>193</v>
      </c>
      <c r="D65" s="537"/>
      <c r="E65" s="537"/>
      <c r="F65" s="537"/>
      <c r="G65" s="537"/>
      <c r="H65" s="537"/>
      <c r="I65" s="537"/>
      <c r="J65" s="537"/>
      <c r="K65" s="537"/>
      <c r="L65" s="538"/>
      <c r="M65" s="240">
        <v>0</v>
      </c>
      <c r="N65" s="99"/>
      <c r="Q65" s="98"/>
      <c r="R65" s="238"/>
      <c r="S65" s="98"/>
    </row>
    <row r="66" spans="2:19" hidden="1" x14ac:dyDescent="0.25">
      <c r="B66" s="241">
        <v>2</v>
      </c>
      <c r="C66" s="539" t="s">
        <v>194</v>
      </c>
      <c r="D66" s="540"/>
      <c r="E66" s="540"/>
      <c r="F66" s="540"/>
      <c r="G66" s="540"/>
      <c r="H66" s="540"/>
      <c r="I66" s="540"/>
      <c r="J66" s="540"/>
      <c r="K66" s="540"/>
      <c r="L66" s="541"/>
      <c r="M66" s="240">
        <v>0</v>
      </c>
      <c r="N66" s="99"/>
      <c r="Q66" s="98"/>
      <c r="R66" s="238"/>
      <c r="S66" s="98"/>
    </row>
    <row r="67" spans="2:19" hidden="1" x14ac:dyDescent="0.25">
      <c r="B67" s="239">
        <v>3</v>
      </c>
      <c r="C67" s="537" t="s">
        <v>195</v>
      </c>
      <c r="D67" s="537"/>
      <c r="E67" s="537"/>
      <c r="F67" s="537"/>
      <c r="G67" s="537"/>
      <c r="H67" s="537"/>
      <c r="I67" s="537"/>
      <c r="J67" s="537"/>
      <c r="K67" s="537"/>
      <c r="L67" s="538"/>
      <c r="M67" s="240">
        <v>0</v>
      </c>
      <c r="N67" s="99"/>
      <c r="Q67" s="98"/>
      <c r="R67" s="238"/>
      <c r="S67" s="98"/>
    </row>
    <row r="68" spans="2:19" hidden="1" x14ac:dyDescent="0.25">
      <c r="B68" s="241">
        <v>4</v>
      </c>
      <c r="C68" s="539" t="s">
        <v>196</v>
      </c>
      <c r="D68" s="540"/>
      <c r="E68" s="540"/>
      <c r="F68" s="540"/>
      <c r="G68" s="540"/>
      <c r="H68" s="540"/>
      <c r="I68" s="540"/>
      <c r="J68" s="540"/>
      <c r="K68" s="540"/>
      <c r="L68" s="541"/>
      <c r="M68" s="240">
        <v>0</v>
      </c>
      <c r="N68" s="99"/>
      <c r="Q68" s="98"/>
      <c r="R68" s="238"/>
      <c r="S68" s="98"/>
    </row>
    <row r="69" spans="2:19" hidden="1" x14ac:dyDescent="0.25">
      <c r="B69" s="239">
        <v>5</v>
      </c>
      <c r="C69" s="539" t="s">
        <v>197</v>
      </c>
      <c r="D69" s="540"/>
      <c r="E69" s="540"/>
      <c r="F69" s="540"/>
      <c r="G69" s="540"/>
      <c r="H69" s="540"/>
      <c r="I69" s="540"/>
      <c r="J69" s="540"/>
      <c r="K69" s="540"/>
      <c r="L69" s="541"/>
      <c r="M69" s="240">
        <v>0</v>
      </c>
      <c r="N69" s="99"/>
      <c r="Q69" s="98"/>
      <c r="R69" s="251"/>
      <c r="S69" s="98"/>
    </row>
    <row r="70" spans="2:19" ht="16.5" hidden="1" thickBot="1" x14ac:dyDescent="0.3">
      <c r="B70" s="542" t="s">
        <v>198</v>
      </c>
      <c r="C70" s="543"/>
      <c r="D70" s="543"/>
      <c r="E70" s="543"/>
      <c r="F70" s="543"/>
      <c r="G70" s="543"/>
      <c r="H70" s="543"/>
      <c r="I70" s="543"/>
      <c r="J70" s="543"/>
      <c r="K70" s="543"/>
      <c r="L70" s="544"/>
      <c r="M70" s="242"/>
      <c r="N70" s="99"/>
      <c r="O70" s="99"/>
      <c r="Q70" s="98"/>
      <c r="R70" s="238"/>
      <c r="S70" s="98"/>
    </row>
    <row r="71" spans="2:19" ht="16.5" hidden="1" thickBot="1" x14ac:dyDescent="0.3">
      <c r="B71" s="243"/>
      <c r="C71" s="244"/>
      <c r="D71" s="245"/>
      <c r="E71" s="245"/>
      <c r="F71" s="246"/>
      <c r="G71" s="246"/>
      <c r="H71" s="246"/>
      <c r="I71" s="246"/>
      <c r="J71" s="246"/>
      <c r="K71" s="246"/>
      <c r="L71" s="246" t="s">
        <v>199</v>
      </c>
      <c r="M71" s="247">
        <f>AVERAGE(M65:M70)</f>
        <v>0</v>
      </c>
      <c r="N71" s="99"/>
      <c r="O71" s="99"/>
      <c r="Q71" s="98"/>
      <c r="R71" s="238"/>
      <c r="S71" s="98"/>
    </row>
    <row r="72" spans="2:19" x14ac:dyDescent="0.25">
      <c r="B72" s="109"/>
      <c r="C72" s="109"/>
      <c r="D72" s="248"/>
      <c r="E72" s="248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50"/>
      <c r="Q72" s="250"/>
      <c r="R72" s="253"/>
    </row>
    <row r="73" spans="2:19" x14ac:dyDescent="0.25">
      <c r="B73" s="249"/>
      <c r="C73" s="122"/>
      <c r="D73" s="122"/>
      <c r="E73" s="122"/>
      <c r="F73" s="249"/>
      <c r="G73" s="249"/>
      <c r="H73" s="249"/>
      <c r="I73" s="249"/>
      <c r="J73" s="249"/>
      <c r="K73" s="249"/>
      <c r="L73" s="249"/>
      <c r="M73" s="101"/>
      <c r="N73" s="101"/>
      <c r="O73" s="99"/>
      <c r="Q73" s="98"/>
      <c r="R73" s="238"/>
      <c r="S73" s="98"/>
    </row>
    <row r="74" spans="2:19" x14ac:dyDescent="0.25">
      <c r="B74" s="122"/>
      <c r="C74" s="122"/>
      <c r="D74" s="249"/>
      <c r="E74" s="249"/>
      <c r="F74" s="236"/>
      <c r="G74" s="236"/>
      <c r="H74" s="236"/>
      <c r="I74" s="236"/>
      <c r="J74" s="236"/>
      <c r="K74" s="236"/>
      <c r="L74" s="236"/>
      <c r="M74" s="236"/>
      <c r="N74" s="236"/>
      <c r="O74" s="99"/>
      <c r="Q74" s="98"/>
      <c r="R74" s="238"/>
      <c r="S74" s="98"/>
    </row>
    <row r="75" spans="2:19" ht="16.5" thickBot="1" x14ac:dyDescent="0.3">
      <c r="B75" s="248"/>
      <c r="C75" s="248"/>
      <c r="D75" s="252"/>
      <c r="E75" s="252"/>
      <c r="F75" s="248"/>
      <c r="G75" s="248"/>
      <c r="H75" s="248"/>
      <c r="I75" s="248"/>
      <c r="J75" s="248"/>
      <c r="K75" s="248"/>
      <c r="L75" s="248"/>
      <c r="M75" s="248"/>
      <c r="N75" s="248"/>
      <c r="O75" s="252"/>
      <c r="P75" s="248"/>
      <c r="Q75" s="248"/>
      <c r="R75" s="238"/>
    </row>
    <row r="76" spans="2:19" x14ac:dyDescent="0.25">
      <c r="B76" s="468" t="s">
        <v>200</v>
      </c>
      <c r="C76" s="469"/>
      <c r="D76" s="470"/>
      <c r="E76" s="254"/>
      <c r="F76" s="468" t="s">
        <v>201</v>
      </c>
      <c r="G76" s="469"/>
      <c r="H76" s="469"/>
      <c r="I76" s="469"/>
      <c r="J76" s="469"/>
      <c r="K76" s="469"/>
      <c r="L76" s="469"/>
      <c r="M76" s="470"/>
      <c r="N76" s="99"/>
      <c r="Q76" s="98"/>
      <c r="R76" s="238"/>
      <c r="S76" s="98"/>
    </row>
    <row r="77" spans="2:19" x14ac:dyDescent="0.25">
      <c r="B77" s="255" t="s">
        <v>128</v>
      </c>
      <c r="C77" s="256" t="s">
        <v>202</v>
      </c>
      <c r="D77" s="257" t="s">
        <v>133</v>
      </c>
      <c r="E77" s="258"/>
      <c r="F77" s="552" t="s">
        <v>128</v>
      </c>
      <c r="G77" s="553"/>
      <c r="H77" s="554"/>
      <c r="I77" s="555" t="s">
        <v>202</v>
      </c>
      <c r="J77" s="556"/>
      <c r="K77" s="552" t="s">
        <v>133</v>
      </c>
      <c r="L77" s="553"/>
      <c r="M77" s="557"/>
      <c r="N77" s="99"/>
      <c r="Q77" s="98"/>
      <c r="R77" s="238"/>
      <c r="S77" s="98"/>
    </row>
    <row r="78" spans="2:19" x14ac:dyDescent="0.25">
      <c r="B78" s="499">
        <f>C7</f>
        <v>0</v>
      </c>
      <c r="C78" s="502" t="str">
        <f>C8</f>
        <v>Susanto</v>
      </c>
      <c r="D78" s="505">
        <f>C9</f>
        <v>0</v>
      </c>
      <c r="E78" s="259"/>
      <c r="F78" s="508">
        <f>B78</f>
        <v>0</v>
      </c>
      <c r="G78" s="509"/>
      <c r="H78" s="510"/>
      <c r="I78" s="545" t="str">
        <f>C78</f>
        <v>Susanto</v>
      </c>
      <c r="J78" s="546"/>
      <c r="K78" s="508">
        <f>D78</f>
        <v>0</v>
      </c>
      <c r="L78" s="509"/>
      <c r="M78" s="546"/>
      <c r="N78" s="99"/>
      <c r="Q78" s="98"/>
      <c r="R78" s="238"/>
      <c r="S78" s="98"/>
    </row>
    <row r="79" spans="2:19" x14ac:dyDescent="0.25">
      <c r="B79" s="500"/>
      <c r="C79" s="503"/>
      <c r="D79" s="506"/>
      <c r="E79" s="260"/>
      <c r="F79" s="511"/>
      <c r="G79" s="419"/>
      <c r="H79" s="512"/>
      <c r="I79" s="418"/>
      <c r="J79" s="420"/>
      <c r="K79" s="511"/>
      <c r="L79" s="419"/>
      <c r="M79" s="420"/>
      <c r="N79" s="99"/>
      <c r="Q79" s="98"/>
      <c r="R79" s="238"/>
      <c r="S79" s="98"/>
    </row>
    <row r="80" spans="2:19" x14ac:dyDescent="0.25">
      <c r="B80" s="500"/>
      <c r="C80" s="503"/>
      <c r="D80" s="506"/>
      <c r="E80" s="260"/>
      <c r="F80" s="511"/>
      <c r="G80" s="419"/>
      <c r="H80" s="512"/>
      <c r="I80" s="418"/>
      <c r="J80" s="420"/>
      <c r="K80" s="511"/>
      <c r="L80" s="419"/>
      <c r="M80" s="420"/>
      <c r="N80" s="99"/>
      <c r="Q80" s="98"/>
      <c r="S80" s="98"/>
    </row>
    <row r="81" spans="2:19" ht="16.5" thickBot="1" x14ac:dyDescent="0.3">
      <c r="B81" s="501"/>
      <c r="C81" s="504"/>
      <c r="D81" s="507"/>
      <c r="E81" s="261"/>
      <c r="F81" s="513"/>
      <c r="G81" s="514"/>
      <c r="H81" s="515"/>
      <c r="I81" s="547"/>
      <c r="J81" s="548"/>
      <c r="K81" s="513"/>
      <c r="L81" s="514"/>
      <c r="M81" s="548"/>
      <c r="N81" s="99"/>
      <c r="Q81" s="98"/>
      <c r="S81" s="98"/>
    </row>
    <row r="82" spans="2:19" ht="16.5" thickBot="1" x14ac:dyDescent="0.3">
      <c r="B82" s="262" t="s">
        <v>203</v>
      </c>
      <c r="C82" s="263" t="s">
        <v>203</v>
      </c>
      <c r="D82" s="264" t="s">
        <v>203</v>
      </c>
      <c r="E82" s="265"/>
      <c r="F82" s="490" t="s">
        <v>203</v>
      </c>
      <c r="G82" s="491"/>
      <c r="H82" s="549"/>
      <c r="I82" s="550" t="s">
        <v>203</v>
      </c>
      <c r="J82" s="491"/>
      <c r="K82" s="491" t="s">
        <v>203</v>
      </c>
      <c r="L82" s="491"/>
      <c r="M82" s="551"/>
      <c r="N82" s="99"/>
      <c r="Q82" s="98"/>
      <c r="S82" s="98"/>
    </row>
  </sheetData>
  <sheetProtection formatCells="0" formatColumns="0" insertRows="0" deleteRows="0"/>
  <mergeCells count="73">
    <mergeCell ref="B3:M3"/>
    <mergeCell ref="B4:M4"/>
    <mergeCell ref="J5:M5"/>
    <mergeCell ref="D6:D7"/>
    <mergeCell ref="E6:H7"/>
    <mergeCell ref="I6:I7"/>
    <mergeCell ref="J6:K6"/>
    <mergeCell ref="J7:K7"/>
    <mergeCell ref="G14:G15"/>
    <mergeCell ref="D8:D9"/>
    <mergeCell ref="E8:H9"/>
    <mergeCell ref="I8:I10"/>
    <mergeCell ref="J8:K8"/>
    <mergeCell ref="J9:K9"/>
    <mergeCell ref="E10:H10"/>
    <mergeCell ref="J10:K10"/>
    <mergeCell ref="B14:B15"/>
    <mergeCell ref="C14:C15"/>
    <mergeCell ref="D14:D15"/>
    <mergeCell ref="E14:E15"/>
    <mergeCell ref="F14:F15"/>
    <mergeCell ref="B34:B40"/>
    <mergeCell ref="C34:C37"/>
    <mergeCell ref="C38:C39"/>
    <mergeCell ref="C40:G40"/>
    <mergeCell ref="B16:B23"/>
    <mergeCell ref="C18:C19"/>
    <mergeCell ref="C20:C22"/>
    <mergeCell ref="C23:G23"/>
    <mergeCell ref="B24:B33"/>
    <mergeCell ref="C24:C28"/>
    <mergeCell ref="C30:C32"/>
    <mergeCell ref="C33:G33"/>
    <mergeCell ref="B41:B49"/>
    <mergeCell ref="C41:C45"/>
    <mergeCell ref="C46:C47"/>
    <mergeCell ref="C49:G49"/>
    <mergeCell ref="C50:G50"/>
    <mergeCell ref="C67:L67"/>
    <mergeCell ref="J50:L50"/>
    <mergeCell ref="J51:L51"/>
    <mergeCell ref="B55:M55"/>
    <mergeCell ref="B59:C59"/>
    <mergeCell ref="J59:L59"/>
    <mergeCell ref="B60:C60"/>
    <mergeCell ref="J60:L60"/>
    <mergeCell ref="B63:B64"/>
    <mergeCell ref="C63:L64"/>
    <mergeCell ref="M63:M64"/>
    <mergeCell ref="C65:L65"/>
    <mergeCell ref="C66:L66"/>
    <mergeCell ref="B70:L70"/>
    <mergeCell ref="B76:D76"/>
    <mergeCell ref="F76:M76"/>
    <mergeCell ref="F77:H77"/>
    <mergeCell ref="I77:J77"/>
    <mergeCell ref="K77:M77"/>
    <mergeCell ref="F82:H82"/>
    <mergeCell ref="I82:J82"/>
    <mergeCell ref="K82:M82"/>
    <mergeCell ref="B6:B7"/>
    <mergeCell ref="C6:C7"/>
    <mergeCell ref="B8:B9"/>
    <mergeCell ref="C8:C9"/>
    <mergeCell ref="C16:C17"/>
    <mergeCell ref="B78:B81"/>
    <mergeCell ref="C78:C81"/>
    <mergeCell ref="D78:D81"/>
    <mergeCell ref="F78:H81"/>
    <mergeCell ref="I78:J81"/>
    <mergeCell ref="K78:M81"/>
    <mergeCell ref="C68:L68"/>
    <mergeCell ref="C69:L69"/>
  </mergeCells>
  <conditionalFormatting sqref="E8 L34:L39 L41:L48">
    <cfRule type="cellIs" dxfId="178" priority="29" operator="equal">
      <formula>1.25</formula>
    </cfRule>
    <cfRule type="cellIs" dxfId="177" priority="32" operator="greaterThan">
      <formula>0.95</formula>
    </cfRule>
    <cfRule type="cellIs" dxfId="176" priority="31" operator="equal">
      <formula>1.05</formula>
    </cfRule>
    <cfRule type="cellIs" dxfId="175" priority="30" operator="greaterThan">
      <formula>1.05</formula>
    </cfRule>
    <cfRule type="cellIs" dxfId="174" priority="28" operator="greaterThan">
      <formula>1.25</formula>
    </cfRule>
    <cfRule type="cellIs" dxfId="173" priority="33" operator="equal">
      <formula>0.95</formula>
    </cfRule>
    <cfRule type="cellIs" dxfId="172" priority="34" operator="greaterThan">
      <formula>0.8</formula>
    </cfRule>
    <cfRule type="cellIs" dxfId="171" priority="35" operator="equal">
      <formula>0.8</formula>
    </cfRule>
    <cfRule type="cellIs" dxfId="170" priority="36" operator="lessThan">
      <formula>0.8</formula>
    </cfRule>
  </conditionalFormatting>
  <conditionalFormatting sqref="E10:E13">
    <cfRule type="containsText" dxfId="169" priority="41" operator="containsText" text="HP">
      <formula>NOT(ISERROR(SEARCH("HP",E10)))</formula>
    </cfRule>
    <cfRule type="containsText" dxfId="168" priority="37" operator="containsText" text="U">
      <formula>NOT(ISERROR(SEARCH("U",E10)))</formula>
    </cfRule>
    <cfRule type="containsText" dxfId="167" priority="38" operator="containsText" text="C">
      <formula>NOT(ISERROR(SEARCH("C",E10)))</formula>
    </cfRule>
    <cfRule type="containsText" dxfId="166" priority="39" operator="containsText" text="T">
      <formula>NOT(ISERROR(SEARCH("T",E10)))</formula>
    </cfRule>
    <cfRule type="containsText" dxfId="165" priority="40" operator="containsText" text="P">
      <formula>NOT(ISERROR(SEARCH("P",E10)))</formula>
    </cfRule>
  </conditionalFormatting>
  <conditionalFormatting sqref="L16:L22">
    <cfRule type="cellIs" dxfId="164" priority="11" operator="equal">
      <formula>1.25</formula>
    </cfRule>
    <cfRule type="cellIs" dxfId="163" priority="16" operator="greaterThan">
      <formula>0.8</formula>
    </cfRule>
    <cfRule type="cellIs" dxfId="162" priority="17" operator="equal">
      <formula>0.8</formula>
    </cfRule>
    <cfRule type="cellIs" dxfId="161" priority="18" operator="lessThan">
      <formula>0.8</formula>
    </cfRule>
    <cfRule type="cellIs" dxfId="160" priority="10" operator="greaterThan">
      <formula>1.25</formula>
    </cfRule>
    <cfRule type="cellIs" dxfId="159" priority="12" operator="greaterThan">
      <formula>1.05</formula>
    </cfRule>
    <cfRule type="cellIs" dxfId="158" priority="13" operator="equal">
      <formula>1.05</formula>
    </cfRule>
    <cfRule type="cellIs" dxfId="157" priority="14" operator="greaterThan">
      <formula>0.95</formula>
    </cfRule>
    <cfRule type="cellIs" dxfId="156" priority="15" operator="equal">
      <formula>0.95</formula>
    </cfRule>
  </conditionalFormatting>
  <conditionalFormatting sqref="L24:L32">
    <cfRule type="cellIs" dxfId="155" priority="1" operator="greaterThan">
      <formula>1.25</formula>
    </cfRule>
    <cfRule type="cellIs" dxfId="154" priority="2" operator="equal">
      <formula>1.25</formula>
    </cfRule>
    <cfRule type="cellIs" dxfId="153" priority="3" operator="greaterThan">
      <formula>1.05</formula>
    </cfRule>
    <cfRule type="cellIs" dxfId="152" priority="4" operator="equal">
      <formula>1.05</formula>
    </cfRule>
    <cfRule type="cellIs" dxfId="151" priority="5" operator="greaterThan">
      <formula>0.95</formula>
    </cfRule>
    <cfRule type="cellIs" dxfId="150" priority="7" operator="greaterThan">
      <formula>0.8</formula>
    </cfRule>
    <cfRule type="cellIs" dxfId="149" priority="8" operator="equal">
      <formula>0.8</formula>
    </cfRule>
    <cfRule type="cellIs" dxfId="148" priority="9" operator="lessThan">
      <formula>0.8</formula>
    </cfRule>
    <cfRule type="cellIs" dxfId="147" priority="6" operator="equal">
      <formula>0.95</formula>
    </cfRule>
  </conditionalFormatting>
  <conditionalFormatting sqref="L56:L58">
    <cfRule type="cellIs" dxfId="146" priority="25" operator="greaterThan">
      <formula>0.8</formula>
    </cfRule>
    <cfRule type="cellIs" dxfId="145" priority="26" operator="equal">
      <formula>0.8</formula>
    </cfRule>
    <cfRule type="cellIs" dxfId="144" priority="27" operator="lessThan">
      <formula>0.8</formula>
    </cfRule>
    <cfRule type="cellIs" dxfId="143" priority="23" operator="greaterThan">
      <formula>0.95</formula>
    </cfRule>
    <cfRule type="cellIs" dxfId="142" priority="24" operator="equal">
      <formula>0.95</formula>
    </cfRule>
    <cfRule type="cellIs" dxfId="141" priority="22" operator="equal">
      <formula>1.05</formula>
    </cfRule>
    <cfRule type="cellIs" dxfId="140" priority="21" operator="greaterThan">
      <formula>1.05</formula>
    </cfRule>
    <cfRule type="cellIs" dxfId="139" priority="20" operator="equal">
      <formula>1.25</formula>
    </cfRule>
    <cfRule type="cellIs" dxfId="138" priority="19" operator="greaterThan">
      <formula>1.25</formula>
    </cfRule>
  </conditionalFormatting>
  <conditionalFormatting sqref="M54 M56:M58">
    <cfRule type="cellIs" dxfId="137" priority="42" stopIfTrue="1" operator="equal">
      <formula>"U"</formula>
    </cfRule>
    <cfRule type="cellIs" dxfId="136" priority="43" stopIfTrue="1" operator="equal">
      <formula>"HP"</formula>
    </cfRule>
    <cfRule type="cellIs" dxfId="135" priority="44" stopIfTrue="1" operator="equal">
      <formula>"P"</formula>
    </cfRule>
    <cfRule type="cellIs" dxfId="134" priority="45" stopIfTrue="1" operator="equal">
      <formula>"T"</formula>
    </cfRule>
    <cfRule type="cellIs" dxfId="133" priority="46" stopIfTrue="1" operator="equal">
      <formula>"C"</formula>
    </cfRule>
  </conditionalFormatting>
  <dataValidations count="4">
    <dataValidation type="list" allowBlank="1" showInputMessage="1" showErrorMessage="1" sqref="G16:G22 G56:G58 G41:G48 G24:G32 G34:G39" xr:uid="{64298870-B26A-4984-86A6-16D9919F8C5A}">
      <formula1>$T$10:$T$11</formula1>
    </dataValidation>
    <dataValidation type="list" allowBlank="1" showInputMessage="1" showErrorMessage="1" sqref="F16:F22 F56:F58 F41:F48 F24:F32 F34:F39" xr:uid="{8A2DFB7F-C700-4C93-A170-2813CB7407D3}">
      <formula1>$S$10:$S$14</formula1>
    </dataValidation>
    <dataValidation type="list" allowBlank="1" showInputMessage="1" showErrorMessage="1" sqref="E6:H7" xr:uid="{18571EA8-FCA9-44FC-ACDA-88A3E313BC57}">
      <formula1>$R$6:$R$7</formula1>
    </dataValidation>
    <dataValidation type="list" allowBlank="1" showInputMessage="1" showErrorMessage="1" sqref="B12:B13" xr:uid="{C502E4DD-BDA3-41A1-A2AB-1A32BD6E1A4F}">
      <formula1>$R$8:$R$18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60" max="12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DC90-929E-46CA-ADB6-F457CBAD60E5}">
  <dimension ref="A1:AC122"/>
  <sheetViews>
    <sheetView zoomScale="85" zoomScaleNormal="85" workbookViewId="0">
      <selection activeCell="C11" sqref="C11"/>
    </sheetView>
  </sheetViews>
  <sheetFormatPr defaultRowHeight="15" x14ac:dyDescent="0.25"/>
  <cols>
    <col min="1" max="1" width="24.5703125" bestFit="1" customWidth="1"/>
    <col min="2" max="4" width="10.5703125" bestFit="1" customWidth="1"/>
    <col min="13" max="13" width="10.5703125" bestFit="1" customWidth="1"/>
    <col min="14" max="14" width="16.7109375" bestFit="1" customWidth="1"/>
    <col min="16" max="16" width="22.140625" bestFit="1" customWidth="1"/>
    <col min="29" max="29" width="16.7109375" bestFit="1" customWidth="1"/>
  </cols>
  <sheetData>
    <row r="1" spans="1:15" x14ac:dyDescent="0.25">
      <c r="A1" s="6" t="s">
        <v>46</v>
      </c>
    </row>
    <row r="2" spans="1:15" x14ac:dyDescent="0.25">
      <c r="A2" s="5" t="s">
        <v>319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95</v>
      </c>
    </row>
    <row r="3" spans="1:15" x14ac:dyDescent="0.25">
      <c r="A3" s="5" t="s">
        <v>41</v>
      </c>
      <c r="B3" s="3">
        <f>323.906/12</f>
        <v>26.992166666666666</v>
      </c>
      <c r="C3" s="3">
        <f t="shared" ref="C3:M3" si="0">323.906/12</f>
        <v>26.992166666666666</v>
      </c>
      <c r="D3" s="3">
        <f t="shared" si="0"/>
        <v>26.992166666666666</v>
      </c>
      <c r="E3" s="3">
        <f t="shared" si="0"/>
        <v>26.992166666666666</v>
      </c>
      <c r="F3" s="3">
        <f t="shared" si="0"/>
        <v>26.992166666666666</v>
      </c>
      <c r="G3" s="3">
        <f t="shared" si="0"/>
        <v>26.992166666666666</v>
      </c>
      <c r="H3" s="3">
        <f t="shared" si="0"/>
        <v>26.992166666666666</v>
      </c>
      <c r="I3" s="3">
        <f t="shared" si="0"/>
        <v>26.992166666666666</v>
      </c>
      <c r="J3" s="3">
        <f t="shared" si="0"/>
        <v>26.992166666666666</v>
      </c>
      <c r="K3" s="3">
        <f t="shared" si="0"/>
        <v>26.992166666666666</v>
      </c>
      <c r="L3" s="3">
        <f t="shared" si="0"/>
        <v>26.992166666666666</v>
      </c>
      <c r="M3" s="3">
        <f t="shared" si="0"/>
        <v>26.992166666666666</v>
      </c>
      <c r="N3" s="3">
        <f>SUM(B3:M3)</f>
        <v>323.90600000000001</v>
      </c>
    </row>
    <row r="4" spans="1:15" x14ac:dyDescent="0.25">
      <c r="A4" s="5" t="s">
        <v>42</v>
      </c>
      <c r="B4" s="3">
        <f>350.933/12</f>
        <v>29.244416666666666</v>
      </c>
      <c r="C4" s="3">
        <v>20</v>
      </c>
      <c r="D4" s="3">
        <v>23</v>
      </c>
      <c r="E4" s="3">
        <v>25</v>
      </c>
      <c r="F4" s="3">
        <v>30</v>
      </c>
      <c r="G4" s="3">
        <v>21</v>
      </c>
      <c r="H4" s="3">
        <v>25</v>
      </c>
      <c r="I4" s="3">
        <f t="shared" ref="I4:L4" si="1">350.933/12</f>
        <v>29.244416666666666</v>
      </c>
      <c r="J4" s="3">
        <f t="shared" si="1"/>
        <v>29.244416666666666</v>
      </c>
      <c r="K4" s="3">
        <f t="shared" si="1"/>
        <v>29.244416666666666</v>
      </c>
      <c r="L4" s="3">
        <f t="shared" si="1"/>
        <v>29.244416666666666</v>
      </c>
      <c r="M4" s="3">
        <v>30</v>
      </c>
      <c r="N4" s="3">
        <f>SUM(B4:M4)</f>
        <v>320.22208333333333</v>
      </c>
    </row>
    <row r="5" spans="1:15" x14ac:dyDescent="0.25">
      <c r="A5" s="5" t="s">
        <v>96</v>
      </c>
      <c r="B5" s="3">
        <f>B4</f>
        <v>29.244416666666666</v>
      </c>
      <c r="C5" s="3">
        <f>SUM($B$4:C$4)</f>
        <v>49.244416666666666</v>
      </c>
      <c r="D5" s="3">
        <f>SUM($B$4:D$4)</f>
        <v>72.244416666666666</v>
      </c>
      <c r="E5" s="3">
        <f>SUM($B$4:E$4)</f>
        <v>97.244416666666666</v>
      </c>
      <c r="F5" s="3">
        <f>SUM($B$4:F$4)</f>
        <v>127.24441666666667</v>
      </c>
      <c r="G5" s="3">
        <f>SUM($B$4:G$4)</f>
        <v>148.24441666666667</v>
      </c>
      <c r="H5" s="3">
        <f>SUM($B$4:H$4)</f>
        <v>173.24441666666667</v>
      </c>
      <c r="I5" s="3">
        <f>SUM($B$4:I$4)</f>
        <v>202.48883333333333</v>
      </c>
      <c r="J5" s="3">
        <f>SUM($B$4:J$4)</f>
        <v>231.73325</v>
      </c>
      <c r="K5" s="3">
        <f>SUM($B$4:K$4)</f>
        <v>260.97766666666666</v>
      </c>
      <c r="L5" s="3">
        <f>SUM($B$4:L$4)</f>
        <v>290.22208333333333</v>
      </c>
      <c r="M5" s="3">
        <f>SUM($B$4:M$4)</f>
        <v>320.22208333333333</v>
      </c>
      <c r="N5" s="3"/>
    </row>
    <row r="6" spans="1:15" x14ac:dyDescent="0.25">
      <c r="A6" s="5" t="s">
        <v>43</v>
      </c>
      <c r="B6" s="4">
        <f>B4/B3</f>
        <v>1.0834408748217075</v>
      </c>
      <c r="C6" s="4">
        <f t="shared" ref="C6:N6" si="2">C4/C3</f>
        <v>0.74095570937247224</v>
      </c>
      <c r="D6" s="4">
        <f t="shared" si="2"/>
        <v>0.85209906577834316</v>
      </c>
      <c r="E6" s="4">
        <f t="shared" si="2"/>
        <v>0.92619463671559032</v>
      </c>
      <c r="F6" s="4">
        <f t="shared" si="2"/>
        <v>1.1114335640587085</v>
      </c>
      <c r="G6" s="4">
        <f t="shared" si="2"/>
        <v>0.77800349484109588</v>
      </c>
      <c r="H6" s="4">
        <f t="shared" si="2"/>
        <v>0.92619463671559032</v>
      </c>
      <c r="I6" s="4">
        <f t="shared" si="2"/>
        <v>1.0834408748217075</v>
      </c>
      <c r="J6" s="4">
        <f t="shared" si="2"/>
        <v>1.0834408748217075</v>
      </c>
      <c r="K6" s="4">
        <f t="shared" si="2"/>
        <v>1.0834408748217075</v>
      </c>
      <c r="L6" s="4">
        <f t="shared" si="2"/>
        <v>1.0834408748217075</v>
      </c>
      <c r="M6" s="4">
        <f t="shared" si="2"/>
        <v>1.1114335640587085</v>
      </c>
      <c r="N6" s="4">
        <f t="shared" si="2"/>
        <v>0.98862658713742047</v>
      </c>
    </row>
    <row r="7" spans="1:15" x14ac:dyDescent="0.25">
      <c r="A7" s="5" t="s">
        <v>44</v>
      </c>
      <c r="B7" s="4">
        <f>B4/B3</f>
        <v>1.0834408748217075</v>
      </c>
      <c r="C7" s="4">
        <f>SUM($B$4:C$4)/SUM($B$3:C$3)</f>
        <v>0.91219829209708991</v>
      </c>
      <c r="D7" s="4">
        <f>SUM($B$4:D$4)/SUM($B$3:D$3)</f>
        <v>0.89216521665750759</v>
      </c>
      <c r="E7" s="4">
        <f>SUM($B$4:E$4)/SUM($B$3:E$3)</f>
        <v>0.9006725716720283</v>
      </c>
      <c r="F7" s="4">
        <f>SUM($B$4:F$4)/SUM($B$3:F$3)</f>
        <v>0.94282477014936428</v>
      </c>
      <c r="G7" s="4">
        <f>SUM($B$4:G$4)/SUM($B$3:G$3)</f>
        <v>0.91535455759798623</v>
      </c>
      <c r="H7" s="4">
        <f>SUM($B$4:H$4)/SUM($B$3:H$3)</f>
        <v>0.9169031403290725</v>
      </c>
      <c r="I7" s="4">
        <f>SUM($B$4:I$4)/SUM($B$3:I$3)</f>
        <v>0.93772035714065194</v>
      </c>
      <c r="J7" s="4">
        <f>SUM($B$4:J$4)/SUM($B$3:J$3)</f>
        <v>0.95391152577188032</v>
      </c>
      <c r="K7" s="4">
        <f>SUM($B$4:K$4)/SUM($B$3:K$3)</f>
        <v>0.96686446067686294</v>
      </c>
      <c r="L7" s="4">
        <f>SUM($B$4:L$4)/SUM($B$3:L$3)</f>
        <v>0.97746231650821247</v>
      </c>
      <c r="M7" s="4">
        <f>SUM($B$4:M$4)/SUM($B$3:M$3)</f>
        <v>0.98862658713742047</v>
      </c>
      <c r="N7" s="4"/>
      <c r="O7" s="1"/>
    </row>
    <row r="8" spans="1:15" x14ac:dyDescent="0.25">
      <c r="A8" s="303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17"/>
    </row>
    <row r="10" spans="1:15" x14ac:dyDescent="0.25">
      <c r="A10" s="6" t="s">
        <v>46</v>
      </c>
    </row>
    <row r="11" spans="1:15" x14ac:dyDescent="0.25">
      <c r="A11" s="5" t="s">
        <v>320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95</v>
      </c>
    </row>
    <row r="12" spans="1:15" x14ac:dyDescent="0.25">
      <c r="A12" s="5" t="s">
        <v>41</v>
      </c>
      <c r="B12" s="3">
        <f>468.959/12</f>
        <v>39.079916666666669</v>
      </c>
      <c r="C12" s="3">
        <f t="shared" ref="C12:M12" si="3">468.959/12</f>
        <v>39.079916666666669</v>
      </c>
      <c r="D12" s="3">
        <f t="shared" si="3"/>
        <v>39.079916666666669</v>
      </c>
      <c r="E12" s="3">
        <f t="shared" si="3"/>
        <v>39.079916666666669</v>
      </c>
      <c r="F12" s="3">
        <f t="shared" si="3"/>
        <v>39.079916666666669</v>
      </c>
      <c r="G12" s="3">
        <f t="shared" si="3"/>
        <v>39.079916666666669</v>
      </c>
      <c r="H12" s="3">
        <f t="shared" si="3"/>
        <v>39.079916666666669</v>
      </c>
      <c r="I12" s="3">
        <f t="shared" si="3"/>
        <v>39.079916666666669</v>
      </c>
      <c r="J12" s="3">
        <f t="shared" si="3"/>
        <v>39.079916666666669</v>
      </c>
      <c r="K12" s="3">
        <f t="shared" si="3"/>
        <v>39.079916666666669</v>
      </c>
      <c r="L12" s="3">
        <f t="shared" si="3"/>
        <v>39.079916666666669</v>
      </c>
      <c r="M12" s="3">
        <f t="shared" si="3"/>
        <v>39.079916666666669</v>
      </c>
      <c r="N12" s="3">
        <f>SUM(B12:M12)</f>
        <v>468.95900000000012</v>
      </c>
    </row>
    <row r="13" spans="1:15" x14ac:dyDescent="0.25">
      <c r="A13" s="5" t="s">
        <v>42</v>
      </c>
      <c r="B13" s="3">
        <f>350.933/12</f>
        <v>29.244416666666666</v>
      </c>
      <c r="C13" s="3">
        <v>30</v>
      </c>
      <c r="D13" s="3">
        <v>30</v>
      </c>
      <c r="E13" s="3">
        <v>25</v>
      </c>
      <c r="F13" s="3">
        <v>30</v>
      </c>
      <c r="G13" s="3">
        <v>21</v>
      </c>
      <c r="H13" s="3">
        <v>40</v>
      </c>
      <c r="I13" s="3">
        <f t="shared" ref="I13:L13" si="4">350.933/12</f>
        <v>29.244416666666666</v>
      </c>
      <c r="J13" s="3">
        <f t="shared" si="4"/>
        <v>29.244416666666666</v>
      </c>
      <c r="K13" s="3">
        <f t="shared" si="4"/>
        <v>29.244416666666666</v>
      </c>
      <c r="L13" s="3">
        <f t="shared" si="4"/>
        <v>29.244416666666666</v>
      </c>
      <c r="M13" s="3">
        <v>0</v>
      </c>
      <c r="N13" s="3">
        <f>SUM(B13:M13)</f>
        <v>322.22208333333333</v>
      </c>
    </row>
    <row r="14" spans="1:15" x14ac:dyDescent="0.25">
      <c r="A14" s="5" t="s">
        <v>96</v>
      </c>
      <c r="B14" s="3">
        <f>B13</f>
        <v>29.244416666666666</v>
      </c>
      <c r="C14" s="3">
        <f>SUM($B$4:C$4)</f>
        <v>49.244416666666666</v>
      </c>
      <c r="D14" s="3">
        <f>SUM($B$4:D$4)</f>
        <v>72.244416666666666</v>
      </c>
      <c r="E14" s="3">
        <f>SUM($B$4:E$4)</f>
        <v>97.244416666666666</v>
      </c>
      <c r="F14" s="3">
        <f>SUM($B$4:F$4)</f>
        <v>127.24441666666667</v>
      </c>
      <c r="G14" s="3">
        <f>SUM($B$4:G$4)</f>
        <v>148.24441666666667</v>
      </c>
      <c r="H14" s="3">
        <f>SUM($B$4:H$4)</f>
        <v>173.24441666666667</v>
      </c>
      <c r="I14" s="3">
        <f>SUM($B$4:I$4)</f>
        <v>202.48883333333333</v>
      </c>
      <c r="J14" s="3">
        <f>SUM($B$4:J$4)</f>
        <v>231.73325</v>
      </c>
      <c r="K14" s="3">
        <f>SUM($B$4:K$4)</f>
        <v>260.97766666666666</v>
      </c>
      <c r="L14" s="3">
        <f>SUM($B$4:L$4)</f>
        <v>290.22208333333333</v>
      </c>
      <c r="M14" s="3">
        <f>SUM($B$4:M$4)</f>
        <v>320.22208333333333</v>
      </c>
      <c r="N14" s="3"/>
    </row>
    <row r="15" spans="1:15" x14ac:dyDescent="0.25">
      <c r="A15" s="5" t="s">
        <v>43</v>
      </c>
      <c r="B15" s="4">
        <f>B13/B12</f>
        <v>0.7483234142003885</v>
      </c>
      <c r="C15" s="4">
        <f t="shared" ref="C15:N15" si="5">C13/C12</f>
        <v>0.76765772700811796</v>
      </c>
      <c r="D15" s="4">
        <f t="shared" si="5"/>
        <v>0.76765772700811796</v>
      </c>
      <c r="E15" s="4">
        <f t="shared" si="5"/>
        <v>0.63971477250676489</v>
      </c>
      <c r="F15" s="4">
        <f t="shared" si="5"/>
        <v>0.76765772700811796</v>
      </c>
      <c r="G15" s="4">
        <f t="shared" si="5"/>
        <v>0.5373604089056826</v>
      </c>
      <c r="H15" s="4">
        <f t="shared" si="5"/>
        <v>1.0235436360108239</v>
      </c>
      <c r="I15" s="4">
        <f t="shared" si="5"/>
        <v>0.7483234142003885</v>
      </c>
      <c r="J15" s="4">
        <f t="shared" si="5"/>
        <v>0.7483234142003885</v>
      </c>
      <c r="K15" s="4">
        <f t="shared" si="5"/>
        <v>0.7483234142003885</v>
      </c>
      <c r="L15" s="4">
        <f t="shared" si="5"/>
        <v>0.7483234142003885</v>
      </c>
      <c r="M15" s="4">
        <f t="shared" si="5"/>
        <v>0</v>
      </c>
      <c r="N15" s="4">
        <f t="shared" si="5"/>
        <v>0.68710075578746388</v>
      </c>
    </row>
    <row r="16" spans="1:15" x14ac:dyDescent="0.25">
      <c r="A16" s="5" t="s">
        <v>44</v>
      </c>
      <c r="B16" s="4">
        <f>B13/B12</f>
        <v>0.7483234142003885</v>
      </c>
      <c r="C16" s="4">
        <f>SUM($B$4:C$4)/SUM($B$3:C$3)</f>
        <v>0.91219829209708991</v>
      </c>
      <c r="D16" s="4">
        <f>SUM($B$4:D$4)/SUM($B$3:D$3)</f>
        <v>0.89216521665750759</v>
      </c>
      <c r="E16" s="4">
        <f>SUM($B$4:E$4)/SUM($B$3:E$3)</f>
        <v>0.9006725716720283</v>
      </c>
      <c r="F16" s="4">
        <f>SUM($B$4:F$4)/SUM($B$3:F$3)</f>
        <v>0.94282477014936428</v>
      </c>
      <c r="G16" s="4">
        <f>SUM($B$4:G$4)/SUM($B$3:G$3)</f>
        <v>0.91535455759798623</v>
      </c>
      <c r="H16" s="4">
        <f>SUM($B$4:H$4)/SUM($B$3:H$3)</f>
        <v>0.9169031403290725</v>
      </c>
      <c r="I16" s="4">
        <f>SUM($B$4:I$4)/SUM($B$3:I$3)</f>
        <v>0.93772035714065194</v>
      </c>
      <c r="J16" s="4">
        <f>SUM($B$4:J$4)/SUM($B$3:J$3)</f>
        <v>0.95391152577188032</v>
      </c>
      <c r="K16" s="4">
        <f>SUM($B$4:K$4)/SUM($B$3:K$3)</f>
        <v>0.96686446067686294</v>
      </c>
      <c r="L16" s="4">
        <f>SUM($B$4:L$4)/SUM($B$3:L$3)</f>
        <v>0.97746231650821247</v>
      </c>
      <c r="M16" s="4">
        <f>SUM($B$4:M$4)/SUM($B$3:M$3)</f>
        <v>0.98862658713742047</v>
      </c>
      <c r="N16" s="4"/>
      <c r="O16" s="1"/>
    </row>
    <row r="17" spans="1:15" x14ac:dyDescent="0.25">
      <c r="A17" s="303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17"/>
    </row>
    <row r="19" spans="1:15" x14ac:dyDescent="0.25">
      <c r="A19" s="6" t="s">
        <v>46</v>
      </c>
    </row>
    <row r="20" spans="1:15" x14ac:dyDescent="0.25">
      <c r="A20" s="5" t="s">
        <v>45</v>
      </c>
      <c r="B20" s="5" t="s">
        <v>29</v>
      </c>
      <c r="C20" s="5" t="s">
        <v>30</v>
      </c>
      <c r="D20" s="5" t="s">
        <v>31</v>
      </c>
      <c r="E20" s="5" t="s">
        <v>32</v>
      </c>
      <c r="F20" s="5" t="s">
        <v>33</v>
      </c>
      <c r="G20" s="5" t="s">
        <v>34</v>
      </c>
      <c r="H20" s="5" t="s">
        <v>35</v>
      </c>
      <c r="I20" s="5" t="s">
        <v>36</v>
      </c>
      <c r="J20" s="5" t="s">
        <v>37</v>
      </c>
      <c r="K20" s="5" t="s">
        <v>38</v>
      </c>
      <c r="L20" s="5" t="s">
        <v>39</v>
      </c>
      <c r="M20" s="5" t="s">
        <v>40</v>
      </c>
      <c r="N20" s="5" t="s">
        <v>95</v>
      </c>
    </row>
    <row r="21" spans="1:15" x14ac:dyDescent="0.25">
      <c r="A21" s="5" t="s">
        <v>41</v>
      </c>
      <c r="B21" s="3">
        <f>'Database Corp.'!B12</f>
        <v>4282</v>
      </c>
      <c r="C21" s="3">
        <f>'Database Corp.'!C12</f>
        <v>4333</v>
      </c>
      <c r="D21" s="3">
        <f>'Database Corp.'!D12</f>
        <v>3562</v>
      </c>
      <c r="E21" s="3">
        <f>'Database Corp.'!E12</f>
        <v>2649</v>
      </c>
      <c r="F21" s="3">
        <f>'Database Corp.'!F12</f>
        <v>4925</v>
      </c>
      <c r="G21" s="3">
        <f>'Database Corp.'!G12</f>
        <v>5688</v>
      </c>
      <c r="H21" s="3">
        <f>'Database Corp.'!H12</f>
        <v>5955</v>
      </c>
      <c r="I21" s="3">
        <f>'Database Corp.'!I12</f>
        <v>5704</v>
      </c>
      <c r="J21" s="3">
        <f>'Database Corp.'!J12</f>
        <v>6910</v>
      </c>
      <c r="K21" s="3">
        <f>'Database Corp.'!K12</f>
        <v>6739</v>
      </c>
      <c r="L21" s="3">
        <f>'Database Corp.'!L12</f>
        <v>8250</v>
      </c>
      <c r="M21" s="3">
        <f>'Database Corp.'!M12</f>
        <v>8034</v>
      </c>
      <c r="N21" s="7">
        <f>SUM(B21:M21)</f>
        <v>67031</v>
      </c>
    </row>
    <row r="22" spans="1:15" x14ac:dyDescent="0.25">
      <c r="A22" s="5" t="s">
        <v>42</v>
      </c>
      <c r="B22" s="3">
        <f>'Database Corp.'!B13</f>
        <v>4297.4398750000037</v>
      </c>
      <c r="C22" s="3">
        <f>'Database Corp.'!C13</f>
        <v>4545.469511999996</v>
      </c>
      <c r="D22" s="3">
        <f>'Database Corp.'!D13</f>
        <v>2944.3088299999981</v>
      </c>
      <c r="E22" s="3">
        <f>'Database Corp.'!E13</f>
        <v>2682.0088259999993</v>
      </c>
      <c r="F22" s="3">
        <f>'Database Corp.'!F13</f>
        <v>3532.0899819999941</v>
      </c>
      <c r="G22" s="3">
        <f>'Database Corp.'!G13</f>
        <v>0</v>
      </c>
      <c r="H22" s="3">
        <f>'Database Corp.'!H13</f>
        <v>0</v>
      </c>
      <c r="I22" s="3">
        <f>'Database Corp.'!I13</f>
        <v>0</v>
      </c>
      <c r="J22" s="3">
        <f>'Database Corp.'!J13</f>
        <v>0</v>
      </c>
      <c r="K22" s="3">
        <f>'Database Corp.'!K13</f>
        <v>0</v>
      </c>
      <c r="L22" s="3">
        <f>'Database Corp.'!L13</f>
        <v>0</v>
      </c>
      <c r="M22" s="3">
        <f>'Database Corp.'!M13</f>
        <v>0</v>
      </c>
      <c r="N22" s="7">
        <f>SUM(B22:M22)</f>
        <v>18001.317024999989</v>
      </c>
    </row>
    <row r="23" spans="1:15" x14ac:dyDescent="0.25">
      <c r="A23" s="5" t="s">
        <v>96</v>
      </c>
      <c r="B23" s="3">
        <f>B22</f>
        <v>4297.4398750000037</v>
      </c>
      <c r="C23" s="3">
        <f>SUM($B$22:C$22)</f>
        <v>8842.9093869999997</v>
      </c>
      <c r="D23" s="3">
        <f>SUM($B$22:D$22)</f>
        <v>11787.218216999998</v>
      </c>
      <c r="E23" s="3">
        <f>SUM($B$22:E$22)</f>
        <v>14469.227042999997</v>
      </c>
      <c r="F23" s="3">
        <f>SUM($B$22:F$22)</f>
        <v>18001.317024999989</v>
      </c>
      <c r="G23" s="3">
        <f>SUM($B$22:G$22)</f>
        <v>18001.317024999989</v>
      </c>
      <c r="H23" s="3">
        <f>SUM($B$22:H$22)</f>
        <v>18001.317024999989</v>
      </c>
      <c r="I23" s="3">
        <f>SUM($B$22:I$22)</f>
        <v>18001.317024999989</v>
      </c>
      <c r="J23" s="3">
        <f>SUM($B$22:J$22)</f>
        <v>18001.317024999989</v>
      </c>
      <c r="K23" s="3">
        <f>SUM($B$22:K$22)</f>
        <v>18001.317024999989</v>
      </c>
      <c r="L23" s="3">
        <f>SUM($B$22:L$22)</f>
        <v>18001.317024999989</v>
      </c>
      <c r="M23" s="3">
        <f>SUM($B$22:M$22)</f>
        <v>18001.317024999989</v>
      </c>
      <c r="N23" s="7"/>
    </row>
    <row r="24" spans="1:15" x14ac:dyDescent="0.25">
      <c r="A24" s="5" t="s">
        <v>43</v>
      </c>
      <c r="B24" s="4">
        <f>B22/B21</f>
        <v>1.0036057624941626</v>
      </c>
      <c r="C24" s="4">
        <f t="shared" ref="C24:N24" si="6">C22/C21</f>
        <v>1.0490351977844441</v>
      </c>
      <c r="D24" s="4">
        <f t="shared" si="6"/>
        <v>0.82658866647950535</v>
      </c>
      <c r="E24" s="4">
        <f t="shared" si="6"/>
        <v>1.0124608629671572</v>
      </c>
      <c r="F24" s="4">
        <f t="shared" si="6"/>
        <v>0.717175630862943</v>
      </c>
      <c r="G24" s="4">
        <f t="shared" si="6"/>
        <v>0</v>
      </c>
      <c r="H24" s="4">
        <f t="shared" si="6"/>
        <v>0</v>
      </c>
      <c r="I24" s="4">
        <f t="shared" si="6"/>
        <v>0</v>
      </c>
      <c r="J24" s="4">
        <f t="shared" si="6"/>
        <v>0</v>
      </c>
      <c r="K24" s="4">
        <f t="shared" si="6"/>
        <v>0</v>
      </c>
      <c r="L24" s="4">
        <f t="shared" si="6"/>
        <v>0</v>
      </c>
      <c r="M24" s="4">
        <f t="shared" si="6"/>
        <v>0</v>
      </c>
      <c r="N24" s="4">
        <f t="shared" si="6"/>
        <v>0.26855211804985735</v>
      </c>
    </row>
    <row r="25" spans="1:15" x14ac:dyDescent="0.25">
      <c r="A25" s="5" t="s">
        <v>44</v>
      </c>
      <c r="B25" s="4">
        <f>SUM($B$22:B$22)/SUM($B$21:B$21)</f>
        <v>1.0036057624941626</v>
      </c>
      <c r="C25" s="4">
        <f>SUM($B$22:C$22)/SUM($B$21:C$21)</f>
        <v>1.0264549491584445</v>
      </c>
      <c r="D25" s="4">
        <f>SUM($B$22:D$22)/SUM($B$21:D$21)</f>
        <v>0.9679903274205468</v>
      </c>
      <c r="E25" s="4">
        <f>SUM($B$22:E$22)/SUM($B$21:E$21)</f>
        <v>0.97593599372723572</v>
      </c>
      <c r="F25" s="4">
        <f>SUM($B$22:F$22)/SUM($B$21:F$21)</f>
        <v>0.91141294238266368</v>
      </c>
      <c r="G25" s="4">
        <f>SUM($B$22:G$22)/SUM($B$21:G$21)</f>
        <v>0.70762675517905538</v>
      </c>
      <c r="H25" s="4">
        <f>SUM($B$22:H$22)/SUM($B$21:H$21)</f>
        <v>0.5733999179779572</v>
      </c>
      <c r="I25" s="4">
        <f>SUM($B$22:I$22)/SUM($B$21:I$21)</f>
        <v>0.48523685980376274</v>
      </c>
      <c r="J25" s="4">
        <f>SUM($B$22:J$22)/SUM($B$21:J$21)</f>
        <v>0.40904646939192851</v>
      </c>
      <c r="K25" s="4">
        <f>SUM($B$22:K$22)/SUM($B$21:K$21)</f>
        <v>0.35472672325457644</v>
      </c>
      <c r="L25" s="4">
        <f>SUM($B$22:L$22)/SUM($B$21:L$21)</f>
        <v>0.30512258292794531</v>
      </c>
      <c r="M25" s="4">
        <f>SUM($B$22:M$22)/SUM($B$21:M$21)</f>
        <v>0.26855211804985735</v>
      </c>
      <c r="N25" s="4"/>
    </row>
    <row r="28" spans="1:15" x14ac:dyDescent="0.25">
      <c r="A28" s="6" t="s">
        <v>46</v>
      </c>
    </row>
    <row r="29" spans="1:15" x14ac:dyDescent="0.25">
      <c r="A29" s="5" t="s">
        <v>47</v>
      </c>
      <c r="B29" s="5" t="s">
        <v>29</v>
      </c>
      <c r="C29" s="5" t="s">
        <v>30</v>
      </c>
      <c r="D29" s="5" t="s">
        <v>31</v>
      </c>
      <c r="E29" s="5" t="s">
        <v>32</v>
      </c>
      <c r="F29" s="5" t="s">
        <v>33</v>
      </c>
      <c r="G29" s="5" t="s">
        <v>34</v>
      </c>
      <c r="H29" s="5" t="s">
        <v>35</v>
      </c>
      <c r="I29" s="5" t="s">
        <v>36</v>
      </c>
      <c r="J29" s="5" t="s">
        <v>37</v>
      </c>
      <c r="K29" s="5" t="s">
        <v>38</v>
      </c>
      <c r="L29" s="5" t="s">
        <v>39</v>
      </c>
      <c r="M29" s="5" t="s">
        <v>40</v>
      </c>
      <c r="N29" s="5" t="s">
        <v>95</v>
      </c>
    </row>
    <row r="30" spans="1:15" x14ac:dyDescent="0.25">
      <c r="A30" s="5" t="s">
        <v>41</v>
      </c>
      <c r="B30" s="3">
        <f>'Database Corp.'!B21</f>
        <v>-378</v>
      </c>
      <c r="C30" s="3">
        <f>'Database Corp.'!C21</f>
        <v>-331</v>
      </c>
      <c r="D30" s="3">
        <f>'Database Corp.'!D21</f>
        <v>-618</v>
      </c>
      <c r="E30" s="3">
        <f>'Database Corp.'!E21</f>
        <v>1096</v>
      </c>
      <c r="F30" s="3">
        <f>'Database Corp.'!F21</f>
        <v>3106</v>
      </c>
      <c r="G30" s="3">
        <f>'Database Corp.'!G21</f>
        <v>1255</v>
      </c>
      <c r="H30" s="3">
        <f>'Database Corp.'!H21</f>
        <v>1554</v>
      </c>
      <c r="I30" s="3">
        <f>'Database Corp.'!I21</f>
        <v>1330</v>
      </c>
      <c r="J30" s="3">
        <f>'Database Corp.'!J21</f>
        <v>2613</v>
      </c>
      <c r="K30" s="3">
        <f>'Database Corp.'!K21</f>
        <v>2041</v>
      </c>
      <c r="L30" s="3">
        <f>'Database Corp.'!L21</f>
        <v>3601</v>
      </c>
      <c r="M30" s="3">
        <f>'Database Corp.'!M21</f>
        <v>3774</v>
      </c>
      <c r="N30" s="7">
        <f>SUM(B30:M30)</f>
        <v>19043</v>
      </c>
    </row>
    <row r="31" spans="1:15" x14ac:dyDescent="0.25">
      <c r="A31" s="5" t="s">
        <v>42</v>
      </c>
      <c r="B31" s="3">
        <f>'Database Corp.'!B22</f>
        <v>435.96089399999573</v>
      </c>
      <c r="C31" s="3">
        <f>'Database Corp.'!C22</f>
        <v>-616.09659700000157</v>
      </c>
      <c r="D31" s="3">
        <f>'Database Corp.'!D22</f>
        <v>-615.20231200000012</v>
      </c>
      <c r="E31" s="3">
        <f>'Database Corp.'!E22</f>
        <v>6768.7153649999946</v>
      </c>
      <c r="F31" s="3">
        <f>'Database Corp.'!F22</f>
        <v>6175.0071279999956</v>
      </c>
      <c r="G31" s="3">
        <f>'Database Corp.'!G22</f>
        <v>0</v>
      </c>
      <c r="H31" s="3">
        <f>'Database Corp.'!H22</f>
        <v>0</v>
      </c>
      <c r="I31" s="3">
        <f>'Database Corp.'!I22</f>
        <v>0</v>
      </c>
      <c r="J31" s="3">
        <f>'Database Corp.'!J22</f>
        <v>0</v>
      </c>
      <c r="K31" s="3">
        <f>'Database Corp.'!K22</f>
        <v>0</v>
      </c>
      <c r="L31" s="3">
        <f>'Database Corp.'!L22</f>
        <v>0</v>
      </c>
      <c r="M31" s="3">
        <f>'Database Corp.'!M22</f>
        <v>0</v>
      </c>
      <c r="N31" s="7">
        <f>SUM(B31:M31)</f>
        <v>12148.384477999985</v>
      </c>
    </row>
    <row r="32" spans="1:15" x14ac:dyDescent="0.25">
      <c r="A32" s="5" t="s">
        <v>96</v>
      </c>
      <c r="B32" s="3">
        <f>B31</f>
        <v>435.96089399999573</v>
      </c>
      <c r="C32" s="3">
        <f>SUM($B$31:C$31)</f>
        <v>-180.13570300000583</v>
      </c>
      <c r="D32" s="3">
        <f>SUM($B$31:D$31)</f>
        <v>-795.33801500000595</v>
      </c>
      <c r="E32" s="3">
        <f>SUM($B$31:E$31)</f>
        <v>5973.3773499999888</v>
      </c>
      <c r="F32" s="3">
        <f>SUM($B$31:F$31)</f>
        <v>12148.384477999985</v>
      </c>
      <c r="G32" s="3">
        <f>SUM($B$31:G$31)</f>
        <v>12148.384477999985</v>
      </c>
      <c r="H32" s="3">
        <f>SUM($B$31:H$31)</f>
        <v>12148.384477999985</v>
      </c>
      <c r="I32" s="3">
        <f>SUM($B$31:I$31)</f>
        <v>12148.384477999985</v>
      </c>
      <c r="J32" s="3">
        <f>SUM($B$31:J$31)</f>
        <v>12148.384477999985</v>
      </c>
      <c r="K32" s="3">
        <f>SUM($B$31:K$31)</f>
        <v>12148.384477999985</v>
      </c>
      <c r="L32" s="3">
        <f>SUM($B$31:L$31)</f>
        <v>12148.384477999985</v>
      </c>
      <c r="M32" s="3">
        <f>SUM($B$31:M$31)</f>
        <v>12148.384477999985</v>
      </c>
      <c r="N32" s="7"/>
    </row>
    <row r="33" spans="1:29" x14ac:dyDescent="0.25">
      <c r="A33" s="5" t="s">
        <v>43</v>
      </c>
      <c r="B33" s="4">
        <f>B31/B30</f>
        <v>-1.153335698412687</v>
      </c>
      <c r="C33" s="4">
        <f t="shared" ref="C33:N33" si="7">C31/C30</f>
        <v>1.861319024169189</v>
      </c>
      <c r="D33" s="4">
        <f t="shared" si="7"/>
        <v>0.99547299676375423</v>
      </c>
      <c r="E33" s="4">
        <f t="shared" si="7"/>
        <v>6.1758351870437904</v>
      </c>
      <c r="F33" s="4">
        <f t="shared" si="7"/>
        <v>1.9880898673535079</v>
      </c>
      <c r="G33" s="4">
        <f t="shared" si="7"/>
        <v>0</v>
      </c>
      <c r="H33" s="4">
        <f t="shared" si="7"/>
        <v>0</v>
      </c>
      <c r="I33" s="4">
        <f t="shared" si="7"/>
        <v>0</v>
      </c>
      <c r="J33" s="4">
        <f t="shared" si="7"/>
        <v>0</v>
      </c>
      <c r="K33" s="4">
        <f t="shared" si="7"/>
        <v>0</v>
      </c>
      <c r="L33" s="4">
        <f t="shared" si="7"/>
        <v>0</v>
      </c>
      <c r="M33" s="4">
        <f t="shared" si="7"/>
        <v>0</v>
      </c>
      <c r="N33" s="4">
        <f t="shared" si="7"/>
        <v>0.63794488673003125</v>
      </c>
    </row>
    <row r="34" spans="1:29" x14ac:dyDescent="0.25">
      <c r="A34" s="5" t="s">
        <v>44</v>
      </c>
      <c r="B34" s="4">
        <f>SUM($B$31:B$31)/SUM($B$30:B$30)</f>
        <v>-1.153335698412687</v>
      </c>
      <c r="C34" s="4">
        <f>SUM($B$31:C$31)/SUM($B$30:C$30)</f>
        <v>0.25407010296192645</v>
      </c>
      <c r="D34" s="4">
        <f>SUM($B$31:D$31)/SUM($B$30:D$30)</f>
        <v>0.59935042577242348</v>
      </c>
      <c r="E34" s="4">
        <f>SUM($B$31:E$31)/SUM($B$30:E$30)</f>
        <v>-25.85877640692636</v>
      </c>
      <c r="F34" s="4">
        <f>SUM($B$31:F$31)/SUM($B$30:F$30)</f>
        <v>4.2255250358260819</v>
      </c>
      <c r="G34" s="4">
        <f>SUM($B$31:G$31)/SUM($B$30:G$30)</f>
        <v>2.9414974523002386</v>
      </c>
      <c r="H34" s="4">
        <f>SUM($B$31:H$31)/SUM($B$30:H$30)</f>
        <v>2.1372949468683999</v>
      </c>
      <c r="I34" s="4">
        <f>SUM($B$31:I$31)/SUM($B$30:I$30)</f>
        <v>1.7320194579412582</v>
      </c>
      <c r="J34" s="4">
        <f>SUM($B$31:J$31)/SUM($B$30:J$30)</f>
        <v>1.2619076013295922</v>
      </c>
      <c r="K34" s="4">
        <f>SUM($B$31:K$31)/SUM($B$30:K$30)</f>
        <v>1.0411711071306124</v>
      </c>
      <c r="L34" s="4">
        <f>SUM($B$31:L$31)/SUM($B$30:L$30)</f>
        <v>0.79562410622830471</v>
      </c>
      <c r="M34" s="4">
        <f>SUM($B$31:M$31)/SUM($B$30:M$30)</f>
        <v>0.63794488673003125</v>
      </c>
      <c r="N34" s="4"/>
    </row>
    <row r="37" spans="1:29" x14ac:dyDescent="0.25">
      <c r="A37" s="6" t="s">
        <v>46</v>
      </c>
    </row>
    <row r="38" spans="1:29" x14ac:dyDescent="0.25">
      <c r="A38" s="5" t="s">
        <v>48</v>
      </c>
      <c r="B38" s="5" t="s">
        <v>29</v>
      </c>
      <c r="C38" s="5" t="s">
        <v>30</v>
      </c>
      <c r="D38" s="5" t="s">
        <v>31</v>
      </c>
      <c r="E38" s="5" t="s">
        <v>32</v>
      </c>
      <c r="F38" s="5" t="s">
        <v>33</v>
      </c>
      <c r="G38" s="5" t="s">
        <v>34</v>
      </c>
      <c r="H38" s="5" t="s">
        <v>35</v>
      </c>
      <c r="I38" s="5" t="s">
        <v>36</v>
      </c>
      <c r="J38" s="5" t="s">
        <v>37</v>
      </c>
      <c r="K38" s="5" t="s">
        <v>38</v>
      </c>
      <c r="L38" s="5" t="s">
        <v>39</v>
      </c>
      <c r="M38" s="5" t="s">
        <v>40</v>
      </c>
      <c r="N38" s="5" t="s">
        <v>95</v>
      </c>
      <c r="P38" s="5" t="s">
        <v>237</v>
      </c>
      <c r="Q38" s="5" t="s">
        <v>29</v>
      </c>
      <c r="R38" s="5" t="s">
        <v>30</v>
      </c>
      <c r="S38" s="5" t="s">
        <v>31</v>
      </c>
      <c r="T38" s="5" t="s">
        <v>32</v>
      </c>
      <c r="U38" s="5" t="s">
        <v>33</v>
      </c>
      <c r="V38" s="5" t="s">
        <v>34</v>
      </c>
      <c r="W38" s="5" t="s">
        <v>35</v>
      </c>
      <c r="X38" s="5" t="s">
        <v>36</v>
      </c>
      <c r="Y38" s="5" t="s">
        <v>37</v>
      </c>
      <c r="Z38" s="5" t="s">
        <v>38</v>
      </c>
      <c r="AA38" s="5" t="s">
        <v>39</v>
      </c>
      <c r="AB38" s="5" t="s">
        <v>40</v>
      </c>
      <c r="AC38" s="5" t="s">
        <v>95</v>
      </c>
    </row>
    <row r="39" spans="1:29" x14ac:dyDescent="0.25">
      <c r="A39" s="5" t="s">
        <v>41</v>
      </c>
      <c r="B39" s="9">
        <v>7.4999999999999997E-2</v>
      </c>
      <c r="C39" s="9">
        <v>7.4999999999999997E-2</v>
      </c>
      <c r="D39" s="9">
        <v>7.4999999999999997E-2</v>
      </c>
      <c r="E39" s="9">
        <v>7.4999999999999997E-2</v>
      </c>
      <c r="F39" s="9">
        <v>7.4999999999999997E-2</v>
      </c>
      <c r="G39" s="9">
        <v>7.4999999999999997E-2</v>
      </c>
      <c r="H39" s="9">
        <v>7.4999999999999997E-2</v>
      </c>
      <c r="I39" s="9">
        <v>7.4999999999999997E-2</v>
      </c>
      <c r="J39" s="9">
        <v>7.4999999999999997E-2</v>
      </c>
      <c r="K39" s="9">
        <v>7.4999999999999997E-2</v>
      </c>
      <c r="L39" s="9">
        <v>7.4999999999999997E-2</v>
      </c>
      <c r="M39" s="9">
        <v>7.4999999999999997E-2</v>
      </c>
      <c r="N39" s="9">
        <f>AVERAGE(B39:M39)</f>
        <v>7.4999999999999983E-2</v>
      </c>
      <c r="P39" s="5" t="s">
        <v>112</v>
      </c>
      <c r="Q39" s="9">
        <v>7.0000000000000007E-2</v>
      </c>
      <c r="R39" s="9">
        <v>0.02</v>
      </c>
      <c r="S39" s="9">
        <v>0.05</v>
      </c>
      <c r="T39" s="9">
        <v>7.0000000000000007E-2</v>
      </c>
      <c r="U39" s="9">
        <v>0.05</v>
      </c>
      <c r="V39" s="9">
        <v>0.03</v>
      </c>
      <c r="W39" s="9">
        <v>0.06</v>
      </c>
      <c r="X39" s="9">
        <v>0.04</v>
      </c>
      <c r="Y39" s="9">
        <v>0.02</v>
      </c>
      <c r="Z39" s="9">
        <v>0.02</v>
      </c>
      <c r="AA39" s="9">
        <v>0.03</v>
      </c>
      <c r="AB39" s="9">
        <v>0.01</v>
      </c>
      <c r="AC39" s="320">
        <f>AVERAGE(Q39:AB39)</f>
        <v>3.9166666666666676E-2</v>
      </c>
    </row>
    <row r="40" spans="1:29" x14ac:dyDescent="0.25">
      <c r="A40" s="5" t="s">
        <v>42</v>
      </c>
      <c r="B40" s="9">
        <f>Q43</f>
        <v>5.5E-2</v>
      </c>
      <c r="C40" s="9">
        <f t="shared" ref="C40:M40" si="8">R43</f>
        <v>0.03</v>
      </c>
      <c r="D40" s="9">
        <f t="shared" si="8"/>
        <v>5.4999999999999993E-2</v>
      </c>
      <c r="E40" s="9">
        <f t="shared" si="8"/>
        <v>5.2499999999999998E-2</v>
      </c>
      <c r="F40" s="9">
        <f t="shared" si="8"/>
        <v>5.5E-2</v>
      </c>
      <c r="G40" s="9">
        <f t="shared" si="8"/>
        <v>5.5000000000000007E-2</v>
      </c>
      <c r="H40" s="9">
        <f t="shared" si="8"/>
        <v>6.7500000000000004E-2</v>
      </c>
      <c r="I40" s="9">
        <f t="shared" si="8"/>
        <v>0.04</v>
      </c>
      <c r="J40" s="9">
        <f t="shared" si="8"/>
        <v>4.2499999999999996E-2</v>
      </c>
      <c r="K40" s="9">
        <f t="shared" si="8"/>
        <v>3.7499999999999999E-2</v>
      </c>
      <c r="L40" s="9">
        <f t="shared" si="8"/>
        <v>4.4999999999999998E-2</v>
      </c>
      <c r="M40" s="9">
        <f t="shared" si="8"/>
        <v>3.3750000000000002E-2</v>
      </c>
      <c r="N40" s="9">
        <f>AVERAGE(B40:M40)</f>
        <v>4.7395833333333325E-2</v>
      </c>
      <c r="P40" s="5" t="s">
        <v>322</v>
      </c>
      <c r="Q40" s="9">
        <v>0.06</v>
      </c>
      <c r="R40" s="9">
        <v>0.03</v>
      </c>
      <c r="S40" s="9">
        <v>0.06</v>
      </c>
      <c r="T40" s="9">
        <v>0.06</v>
      </c>
      <c r="U40" s="9">
        <v>0.06</v>
      </c>
      <c r="V40" s="9">
        <v>0.04</v>
      </c>
      <c r="W40" s="9">
        <v>0.06</v>
      </c>
      <c r="X40" s="9">
        <v>0.05</v>
      </c>
      <c r="Y40" s="9">
        <v>0.06</v>
      </c>
      <c r="Z40" s="9">
        <v>0.04</v>
      </c>
      <c r="AA40" s="9">
        <v>0.04</v>
      </c>
      <c r="AB40" s="9">
        <v>0.03</v>
      </c>
      <c r="AC40" s="320">
        <f t="shared" ref="AC40:AC42" si="9">AVERAGE(Q40:AB40)</f>
        <v>4.9166666666666671E-2</v>
      </c>
    </row>
    <row r="41" spans="1:29" x14ac:dyDescent="0.25">
      <c r="A41" s="5" t="s">
        <v>43</v>
      </c>
      <c r="B41" s="4">
        <f t="shared" ref="B41:N41" si="10">((B39-B40)/B39)+1</f>
        <v>1.2666666666666666</v>
      </c>
      <c r="C41" s="4">
        <f t="shared" si="10"/>
        <v>1.6</v>
      </c>
      <c r="D41" s="4">
        <f t="shared" si="10"/>
        <v>1.2666666666666666</v>
      </c>
      <c r="E41" s="4">
        <f t="shared" si="10"/>
        <v>1.3</v>
      </c>
      <c r="F41" s="4">
        <f t="shared" si="10"/>
        <v>1.2666666666666666</v>
      </c>
      <c r="G41" s="4">
        <f t="shared" si="10"/>
        <v>1.2666666666666666</v>
      </c>
      <c r="H41" s="4">
        <f t="shared" si="10"/>
        <v>1.0999999999999999</v>
      </c>
      <c r="I41" s="4">
        <f t="shared" si="10"/>
        <v>1.4666666666666666</v>
      </c>
      <c r="J41" s="4">
        <f t="shared" si="10"/>
        <v>1.4333333333333333</v>
      </c>
      <c r="K41" s="4">
        <f t="shared" si="10"/>
        <v>1.5</v>
      </c>
      <c r="L41" s="4">
        <f t="shared" si="10"/>
        <v>1.4</v>
      </c>
      <c r="M41" s="4">
        <f t="shared" si="10"/>
        <v>1.5499999999999998</v>
      </c>
      <c r="N41" s="4">
        <f t="shared" si="10"/>
        <v>1.3680555555555556</v>
      </c>
      <c r="P41" s="5" t="s">
        <v>114</v>
      </c>
      <c r="Q41" s="9">
        <v>0.05</v>
      </c>
      <c r="R41" s="9">
        <v>0.03</v>
      </c>
      <c r="S41" s="9">
        <v>0.06</v>
      </c>
      <c r="T41" s="9">
        <v>0.05</v>
      </c>
      <c r="U41" s="9">
        <v>7.0000000000000007E-2</v>
      </c>
      <c r="V41" s="9">
        <v>0.08</v>
      </c>
      <c r="W41" s="9">
        <v>7.0000000000000007E-2</v>
      </c>
      <c r="X41" s="9">
        <v>0.03</v>
      </c>
      <c r="Y41" s="9">
        <v>0.04</v>
      </c>
      <c r="Z41" s="9">
        <v>0.03</v>
      </c>
      <c r="AA41" s="9">
        <v>0.05</v>
      </c>
      <c r="AB41" s="9">
        <v>0.02</v>
      </c>
      <c r="AC41" s="320">
        <f t="shared" si="9"/>
        <v>4.8333333333333339E-2</v>
      </c>
    </row>
    <row r="42" spans="1:29" x14ac:dyDescent="0.25">
      <c r="A42" s="5" t="s">
        <v>44</v>
      </c>
      <c r="B42" s="4">
        <f>SUM((($B$39:B$39)-SUM($B$40:B$40))/SUM($B$39:B$39))+1</f>
        <v>1.2666666666666666</v>
      </c>
      <c r="C42" s="4">
        <f>SUM($B$41:C$41)/COUNT($B$41:C$41)</f>
        <v>1.4333333333333333</v>
      </c>
      <c r="D42" s="4">
        <f>SUM($B$41:D$41)/COUNT($B$41:D$41)</f>
        <v>1.3777777777777775</v>
      </c>
      <c r="E42" s="4">
        <f>SUM($B$41:E$41)/COUNT($B$41:E$41)</f>
        <v>1.3583333333333332</v>
      </c>
      <c r="F42" s="4">
        <f>SUM($B$41:F$41)/COUNT($B$41:F$41)</f>
        <v>1.3399999999999999</v>
      </c>
      <c r="G42" s="4">
        <f>SUM($B$41:G$41)/COUNT($B$41:G$41)</f>
        <v>1.3277777777777777</v>
      </c>
      <c r="H42" s="4">
        <f>SUM($B$41:H$41)/COUNT($B$41:H$41)</f>
        <v>1.2952380952380953</v>
      </c>
      <c r="I42" s="4">
        <f>SUM($B$41:I$41)/COUNT($B$41:I$41)</f>
        <v>1.3166666666666667</v>
      </c>
      <c r="J42" s="4">
        <f>SUM($B$41:J$41)/COUNT($B$41:J$41)</f>
        <v>1.3296296296296297</v>
      </c>
      <c r="K42" s="4">
        <f>SUM($B$41:K$41)/COUNT($B$41:K$41)</f>
        <v>1.3466666666666667</v>
      </c>
      <c r="L42" s="4">
        <f>SUM($B$41:L$41)/COUNT($B$41:L$41)</f>
        <v>1.3515151515151516</v>
      </c>
      <c r="M42" s="4">
        <f>SUM($B$41:M$41)/COUNT($B$41:M$41)</f>
        <v>1.3680555555555556</v>
      </c>
      <c r="N42" s="4"/>
      <c r="P42" s="5" t="s">
        <v>323</v>
      </c>
      <c r="Q42" s="9">
        <v>0.04</v>
      </c>
      <c r="R42" s="9">
        <v>0.04</v>
      </c>
      <c r="S42" s="9">
        <v>0.05</v>
      </c>
      <c r="T42" s="9">
        <v>0.03</v>
      </c>
      <c r="U42" s="9">
        <v>0.04</v>
      </c>
      <c r="V42" s="9">
        <v>7.0000000000000007E-2</v>
      </c>
      <c r="W42" s="9">
        <v>0.08</v>
      </c>
      <c r="X42" s="9">
        <v>0.04</v>
      </c>
      <c r="Y42" s="9">
        <v>0.05</v>
      </c>
      <c r="Z42" s="9">
        <v>0.06</v>
      </c>
      <c r="AA42" s="9">
        <v>0.06</v>
      </c>
      <c r="AB42" s="9">
        <v>7.4999999999999997E-2</v>
      </c>
      <c r="AC42" s="320">
        <f t="shared" si="9"/>
        <v>5.2916666666666667E-2</v>
      </c>
    </row>
    <row r="43" spans="1:29" x14ac:dyDescent="0.25">
      <c r="P43" s="5" t="s">
        <v>321</v>
      </c>
      <c r="Q43" s="319">
        <f>AVERAGE(Q39:Q42)</f>
        <v>5.5E-2</v>
      </c>
      <c r="R43" s="319">
        <f t="shared" ref="R43:AC43" si="11">AVERAGE(R39:R42)</f>
        <v>0.03</v>
      </c>
      <c r="S43" s="319">
        <f t="shared" si="11"/>
        <v>5.4999999999999993E-2</v>
      </c>
      <c r="T43" s="319">
        <f t="shared" si="11"/>
        <v>5.2499999999999998E-2</v>
      </c>
      <c r="U43" s="319">
        <f t="shared" si="11"/>
        <v>5.5E-2</v>
      </c>
      <c r="V43" s="319">
        <f t="shared" si="11"/>
        <v>5.5000000000000007E-2</v>
      </c>
      <c r="W43" s="319">
        <f t="shared" si="11"/>
        <v>6.7500000000000004E-2</v>
      </c>
      <c r="X43" s="319">
        <f t="shared" si="11"/>
        <v>0.04</v>
      </c>
      <c r="Y43" s="319">
        <f t="shared" si="11"/>
        <v>4.2499999999999996E-2</v>
      </c>
      <c r="Z43" s="319">
        <f t="shared" si="11"/>
        <v>3.7499999999999999E-2</v>
      </c>
      <c r="AA43" s="319">
        <f t="shared" si="11"/>
        <v>4.4999999999999998E-2</v>
      </c>
      <c r="AB43" s="319">
        <f t="shared" si="11"/>
        <v>3.3750000000000002E-2</v>
      </c>
      <c r="AC43" s="319">
        <f t="shared" si="11"/>
        <v>4.7395833333333338E-2</v>
      </c>
    </row>
    <row r="45" spans="1:29" x14ac:dyDescent="0.25">
      <c r="A45" s="6" t="s">
        <v>46</v>
      </c>
    </row>
    <row r="46" spans="1:29" x14ac:dyDescent="0.25">
      <c r="A46" s="5" t="s">
        <v>215</v>
      </c>
      <c r="B46" s="5" t="s">
        <v>29</v>
      </c>
      <c r="C46" s="5" t="s">
        <v>30</v>
      </c>
      <c r="D46" s="5" t="s">
        <v>31</v>
      </c>
      <c r="E46" s="5" t="s">
        <v>32</v>
      </c>
      <c r="F46" s="5" t="s">
        <v>33</v>
      </c>
      <c r="G46" s="5" t="s">
        <v>34</v>
      </c>
      <c r="H46" s="5" t="s">
        <v>35</v>
      </c>
      <c r="I46" s="5" t="s">
        <v>36</v>
      </c>
      <c r="J46" s="5" t="s">
        <v>37</v>
      </c>
      <c r="K46" s="5" t="s">
        <v>38</v>
      </c>
      <c r="L46" s="5" t="s">
        <v>39</v>
      </c>
      <c r="M46" s="5" t="s">
        <v>40</v>
      </c>
      <c r="N46" s="5" t="s">
        <v>95</v>
      </c>
      <c r="P46" s="5" t="s">
        <v>237</v>
      </c>
      <c r="Q46" s="5" t="s">
        <v>29</v>
      </c>
      <c r="R46" s="5" t="s">
        <v>30</v>
      </c>
      <c r="S46" s="5" t="s">
        <v>31</v>
      </c>
      <c r="T46" s="5" t="s">
        <v>32</v>
      </c>
      <c r="U46" s="5" t="s">
        <v>33</v>
      </c>
      <c r="V46" s="5" t="s">
        <v>34</v>
      </c>
      <c r="W46" s="5" t="s">
        <v>35</v>
      </c>
      <c r="X46" s="5" t="s">
        <v>36</v>
      </c>
      <c r="Y46" s="5" t="s">
        <v>37</v>
      </c>
      <c r="Z46" s="5" t="s">
        <v>38</v>
      </c>
      <c r="AA46" s="5" t="s">
        <v>39</v>
      </c>
      <c r="AB46" s="5" t="s">
        <v>40</v>
      </c>
      <c r="AC46" s="5" t="s">
        <v>95</v>
      </c>
    </row>
    <row r="47" spans="1:29" x14ac:dyDescent="0.25">
      <c r="A47" s="5" t="s">
        <v>41</v>
      </c>
      <c r="B47" s="4">
        <v>0.95</v>
      </c>
      <c r="C47" s="4">
        <v>0.95</v>
      </c>
      <c r="D47" s="4">
        <v>0.95</v>
      </c>
      <c r="E47" s="4">
        <v>0.95</v>
      </c>
      <c r="F47" s="4">
        <v>0.95</v>
      </c>
      <c r="G47" s="4">
        <v>0.95</v>
      </c>
      <c r="H47" s="4">
        <v>0.95</v>
      </c>
      <c r="I47" s="4">
        <v>0.95</v>
      </c>
      <c r="J47" s="4">
        <v>0.95</v>
      </c>
      <c r="K47" s="4">
        <v>0.95</v>
      </c>
      <c r="L47" s="4">
        <v>0.95</v>
      </c>
      <c r="M47" s="4">
        <v>0.95</v>
      </c>
      <c r="N47" s="4">
        <v>0.9</v>
      </c>
      <c r="P47" s="5" t="s">
        <v>112</v>
      </c>
      <c r="Q47" s="4">
        <v>0.95</v>
      </c>
      <c r="R47" s="4">
        <v>0.95</v>
      </c>
      <c r="S47" s="4">
        <v>0.95</v>
      </c>
      <c r="T47" s="4">
        <v>0.95</v>
      </c>
      <c r="U47" s="4">
        <v>0.95</v>
      </c>
      <c r="V47" s="4">
        <v>0.95</v>
      </c>
      <c r="W47" s="4">
        <v>0.95</v>
      </c>
      <c r="X47" s="4">
        <v>0.95</v>
      </c>
      <c r="Y47" s="4">
        <v>0.95</v>
      </c>
      <c r="Z47" s="4">
        <v>0.95</v>
      </c>
      <c r="AA47" s="4">
        <v>0.95</v>
      </c>
      <c r="AB47" s="4">
        <v>0.95</v>
      </c>
      <c r="AC47" s="4">
        <f>AVERAGE(Q47:AB47)</f>
        <v>0.94999999999999984</v>
      </c>
    </row>
    <row r="48" spans="1:29" x14ac:dyDescent="0.25">
      <c r="A48" s="5" t="s">
        <v>42</v>
      </c>
      <c r="B48" s="4">
        <f>Q51</f>
        <v>0.95</v>
      </c>
      <c r="C48" s="4">
        <f t="shared" ref="C48:M48" si="12">R51</f>
        <v>0.95</v>
      </c>
      <c r="D48" s="4">
        <f t="shared" si="12"/>
        <v>0.95</v>
      </c>
      <c r="E48" s="4">
        <f t="shared" si="12"/>
        <v>0.95</v>
      </c>
      <c r="F48" s="4">
        <f t="shared" si="12"/>
        <v>0.95</v>
      </c>
      <c r="G48" s="4">
        <f t="shared" si="12"/>
        <v>0.95</v>
      </c>
      <c r="H48" s="4">
        <f t="shared" si="12"/>
        <v>0.95</v>
      </c>
      <c r="I48" s="4">
        <f t="shared" si="12"/>
        <v>0.95</v>
      </c>
      <c r="J48" s="4">
        <f t="shared" si="12"/>
        <v>0.95</v>
      </c>
      <c r="K48" s="4">
        <f t="shared" si="12"/>
        <v>0.95</v>
      </c>
      <c r="L48" s="4">
        <f t="shared" si="12"/>
        <v>0.95</v>
      </c>
      <c r="M48" s="4">
        <f t="shared" si="12"/>
        <v>0.95</v>
      </c>
      <c r="N48" s="4">
        <f>AVERAGE(B48:M48)</f>
        <v>0.94999999999999984</v>
      </c>
      <c r="P48" s="5" t="s">
        <v>322</v>
      </c>
      <c r="Q48" s="4">
        <v>0.95</v>
      </c>
      <c r="R48" s="4">
        <v>0.95</v>
      </c>
      <c r="S48" s="4">
        <v>0.95</v>
      </c>
      <c r="T48" s="4">
        <v>0.95</v>
      </c>
      <c r="U48" s="4">
        <v>0.95</v>
      </c>
      <c r="V48" s="4">
        <v>0.95</v>
      </c>
      <c r="W48" s="4">
        <v>0.95</v>
      </c>
      <c r="X48" s="4">
        <v>0.95</v>
      </c>
      <c r="Y48" s="4">
        <v>0.95</v>
      </c>
      <c r="Z48" s="4">
        <v>0.95</v>
      </c>
      <c r="AA48" s="4">
        <v>0.95</v>
      </c>
      <c r="AB48" s="4">
        <v>0.95</v>
      </c>
      <c r="AC48" s="4">
        <f t="shared" ref="AC48:AC51" si="13">AVERAGE(Q48:AB48)</f>
        <v>0.94999999999999984</v>
      </c>
    </row>
    <row r="49" spans="1:29" x14ac:dyDescent="0.25">
      <c r="A49" s="5" t="s">
        <v>43</v>
      </c>
      <c r="B49" s="4">
        <f t="shared" ref="B49:N49" si="14">((B47-B48)/B47)+1</f>
        <v>1</v>
      </c>
      <c r="C49" s="4">
        <f t="shared" si="14"/>
        <v>1</v>
      </c>
      <c r="D49" s="4">
        <f t="shared" si="14"/>
        <v>1</v>
      </c>
      <c r="E49" s="4">
        <f t="shared" si="14"/>
        <v>1</v>
      </c>
      <c r="F49" s="4">
        <f t="shared" si="14"/>
        <v>1</v>
      </c>
      <c r="G49" s="4">
        <f t="shared" si="14"/>
        <v>1</v>
      </c>
      <c r="H49" s="4">
        <f t="shared" si="14"/>
        <v>1</v>
      </c>
      <c r="I49" s="4">
        <f t="shared" si="14"/>
        <v>1</v>
      </c>
      <c r="J49" s="4">
        <f t="shared" si="14"/>
        <v>1</v>
      </c>
      <c r="K49" s="4">
        <f t="shared" si="14"/>
        <v>1</v>
      </c>
      <c r="L49" s="4">
        <f t="shared" si="14"/>
        <v>1</v>
      </c>
      <c r="M49" s="4">
        <f t="shared" si="14"/>
        <v>1</v>
      </c>
      <c r="N49" s="4">
        <f t="shared" si="14"/>
        <v>0.94444444444444464</v>
      </c>
      <c r="P49" s="5" t="s">
        <v>114</v>
      </c>
      <c r="Q49" s="4">
        <v>0.95</v>
      </c>
      <c r="R49" s="4">
        <v>0.95</v>
      </c>
      <c r="S49" s="4">
        <v>0.95</v>
      </c>
      <c r="T49" s="4">
        <v>0.95</v>
      </c>
      <c r="U49" s="4">
        <v>0.95</v>
      </c>
      <c r="V49" s="4">
        <v>0.95</v>
      </c>
      <c r="W49" s="4">
        <v>0.95</v>
      </c>
      <c r="X49" s="4">
        <v>0.95</v>
      </c>
      <c r="Y49" s="4">
        <v>0.95</v>
      </c>
      <c r="Z49" s="4">
        <v>0.95</v>
      </c>
      <c r="AA49" s="4">
        <v>0.95</v>
      </c>
      <c r="AB49" s="4">
        <v>0.95</v>
      </c>
      <c r="AC49" s="4">
        <f t="shared" si="13"/>
        <v>0.94999999999999984</v>
      </c>
    </row>
    <row r="50" spans="1:29" x14ac:dyDescent="0.25">
      <c r="A50" s="5" t="s">
        <v>44</v>
      </c>
      <c r="B50" s="4">
        <f>SUM((($B$47:B$47)-SUM($B$48:B$48))/SUM($B$39:B$39))+1</f>
        <v>1</v>
      </c>
      <c r="C50" s="4">
        <f>((SUM($B$47:C$47)-SUM($B$48:C$48))/(SUM($B$39:C$39)))+1</f>
        <v>1</v>
      </c>
      <c r="D50" s="4">
        <f>((SUM($B$47:D$47)-SUM($B$48:D$48))/(SUM($B$39:D$39)))+1</f>
        <v>1</v>
      </c>
      <c r="E50" s="4">
        <f>((SUM($B$47:E$47)-SUM($B$48:E$48))/(SUM($B$39:E$39)))+1</f>
        <v>1</v>
      </c>
      <c r="F50" s="4">
        <f>((SUM($B$47:F$47)-SUM($B$48:F$48))/(SUM($B$39:F$39)))+1</f>
        <v>1</v>
      </c>
      <c r="G50" s="4">
        <f>((SUM($B$47:G$47)-SUM($B$48:G$48))/(SUM($B$39:G$39)))+1</f>
        <v>1</v>
      </c>
      <c r="H50" s="4">
        <f>((SUM($B$47:H$47)-SUM($B$48:H$48))/(SUM($B$39:H$39)))+1</f>
        <v>1</v>
      </c>
      <c r="I50" s="4">
        <f>((SUM($B$47:I$47)-SUM($B$48:I$48))/(SUM($B$39:I$39)))+1</f>
        <v>1</v>
      </c>
      <c r="J50" s="4">
        <f>((SUM($B$47:J$47)-SUM($B$48:J$48))/(SUM($B$39:J$39)))+1</f>
        <v>1</v>
      </c>
      <c r="K50" s="4">
        <f>((SUM($B$47:K$47)-SUM($B$48:K$48))/(SUM($B$39:K$39)))+1</f>
        <v>1</v>
      </c>
      <c r="L50" s="4">
        <f>((SUM($B$47:L$47)-SUM($B$48:L$48))/(SUM($B$39:L$39)))+1</f>
        <v>1</v>
      </c>
      <c r="M50" s="4">
        <f>((SUM($B$47:M$47)-SUM($B$48:M$48))/(SUM($B$39:M$39)))+1</f>
        <v>1</v>
      </c>
      <c r="N50" s="4"/>
      <c r="P50" s="5" t="s">
        <v>323</v>
      </c>
      <c r="Q50" s="4">
        <v>0.95</v>
      </c>
      <c r="R50" s="4">
        <v>0.95</v>
      </c>
      <c r="S50" s="4">
        <v>0.95</v>
      </c>
      <c r="T50" s="4">
        <v>0.95</v>
      </c>
      <c r="U50" s="4">
        <v>0.95</v>
      </c>
      <c r="V50" s="4">
        <v>0.95</v>
      </c>
      <c r="W50" s="4">
        <v>0.95</v>
      </c>
      <c r="X50" s="4">
        <v>0.95</v>
      </c>
      <c r="Y50" s="4">
        <v>0.95</v>
      </c>
      <c r="Z50" s="4">
        <v>0.95</v>
      </c>
      <c r="AA50" s="4">
        <v>0.95</v>
      </c>
      <c r="AB50" s="4">
        <v>0.95</v>
      </c>
      <c r="AC50" s="4">
        <f t="shared" si="13"/>
        <v>0.94999999999999984</v>
      </c>
    </row>
    <row r="51" spans="1:29" x14ac:dyDescent="0.25">
      <c r="P51" s="5" t="s">
        <v>321</v>
      </c>
      <c r="Q51" s="310">
        <f t="shared" ref="Q51" si="15">AVERAGE(Q47:Q50)</f>
        <v>0.95</v>
      </c>
      <c r="R51" s="310">
        <f t="shared" ref="R51" si="16">AVERAGE(R47:R50)</f>
        <v>0.95</v>
      </c>
      <c r="S51" s="310">
        <f t="shared" ref="S51" si="17">AVERAGE(S47:S50)</f>
        <v>0.95</v>
      </c>
      <c r="T51" s="310">
        <f t="shared" ref="T51" si="18">AVERAGE(T47:T50)</f>
        <v>0.95</v>
      </c>
      <c r="U51" s="310">
        <f t="shared" ref="U51" si="19">AVERAGE(U47:U50)</f>
        <v>0.95</v>
      </c>
      <c r="V51" s="310">
        <f t="shared" ref="V51" si="20">AVERAGE(V47:V50)</f>
        <v>0.95</v>
      </c>
      <c r="W51" s="310">
        <f t="shared" ref="W51" si="21">AVERAGE(W47:W50)</f>
        <v>0.95</v>
      </c>
      <c r="X51" s="310">
        <f t="shared" ref="X51" si="22">AVERAGE(X47:X50)</f>
        <v>0.95</v>
      </c>
      <c r="Y51" s="310">
        <f t="shared" ref="Y51" si="23">AVERAGE(Y47:Y50)</f>
        <v>0.95</v>
      </c>
      <c r="Z51" s="310">
        <f t="shared" ref="Z51" si="24">AVERAGE(Z47:Z50)</f>
        <v>0.95</v>
      </c>
      <c r="AA51" s="310">
        <f t="shared" ref="AA51" si="25">AVERAGE(AA47:AA50)</f>
        <v>0.95</v>
      </c>
      <c r="AB51" s="310">
        <f t="shared" ref="AB51" si="26">AVERAGE(AB47:AB50)</f>
        <v>0.95</v>
      </c>
      <c r="AC51" s="310">
        <f t="shared" si="13"/>
        <v>0.94999999999999984</v>
      </c>
    </row>
    <row r="53" spans="1:29" x14ac:dyDescent="0.25">
      <c r="A53" s="6" t="s">
        <v>46</v>
      </c>
    </row>
    <row r="54" spans="1:29" x14ac:dyDescent="0.25">
      <c r="A54" s="5" t="s">
        <v>49</v>
      </c>
      <c r="B54" s="5" t="s">
        <v>29</v>
      </c>
      <c r="C54" s="5" t="s">
        <v>30</v>
      </c>
      <c r="D54" s="5" t="s">
        <v>31</v>
      </c>
      <c r="E54" s="5" t="s">
        <v>32</v>
      </c>
      <c r="F54" s="5" t="s">
        <v>33</v>
      </c>
      <c r="G54" s="5" t="s">
        <v>34</v>
      </c>
      <c r="H54" s="5" t="s">
        <v>35</v>
      </c>
      <c r="I54" s="5" t="s">
        <v>36</v>
      </c>
      <c r="J54" s="5" t="s">
        <v>37</v>
      </c>
      <c r="K54" s="5" t="s">
        <v>38</v>
      </c>
      <c r="L54" s="5" t="s">
        <v>39</v>
      </c>
      <c r="M54" s="5" t="s">
        <v>40</v>
      </c>
      <c r="N54" s="5" t="s">
        <v>95</v>
      </c>
    </row>
    <row r="55" spans="1:29" x14ac:dyDescent="0.25">
      <c r="A55" s="5" t="s">
        <v>41</v>
      </c>
      <c r="B55" s="9">
        <v>1.2E-2</v>
      </c>
      <c r="C55" s="9">
        <v>1.2E-2</v>
      </c>
      <c r="D55" s="9">
        <v>1.2E-2</v>
      </c>
      <c r="E55" s="9">
        <v>1.2E-2</v>
      </c>
      <c r="F55" s="9">
        <v>1.2E-2</v>
      </c>
      <c r="G55" s="9">
        <v>1.2E-2</v>
      </c>
      <c r="H55" s="9">
        <v>1.2E-2</v>
      </c>
      <c r="I55" s="9">
        <v>1.2E-2</v>
      </c>
      <c r="J55" s="9">
        <v>1.2E-2</v>
      </c>
      <c r="K55" s="9">
        <v>1.2E-2</v>
      </c>
      <c r="L55" s="9">
        <v>1.2E-2</v>
      </c>
      <c r="M55" s="9">
        <v>1.2E-2</v>
      </c>
      <c r="N55" s="9">
        <f>AVERAGE(B55:M55)</f>
        <v>1.1999999999999999E-2</v>
      </c>
    </row>
    <row r="56" spans="1:29" x14ac:dyDescent="0.25">
      <c r="A56" s="5" t="s">
        <v>42</v>
      </c>
      <c r="B56" s="9">
        <v>1.2E-2</v>
      </c>
      <c r="C56" s="9">
        <v>1.0999999999999999E-2</v>
      </c>
      <c r="D56" s="9">
        <v>1.2999999999999999E-2</v>
      </c>
      <c r="E56" s="9">
        <v>0.01</v>
      </c>
      <c r="F56" s="9">
        <v>8.9999999999999993E-3</v>
      </c>
      <c r="G56" s="9">
        <v>0.01</v>
      </c>
      <c r="H56" s="9">
        <v>1.4999999999999999E-2</v>
      </c>
      <c r="I56" s="9">
        <v>0.01</v>
      </c>
      <c r="J56" s="9">
        <v>8.0000000000000002E-3</v>
      </c>
      <c r="K56" s="9">
        <v>8.9999999999999993E-3</v>
      </c>
      <c r="L56" s="9">
        <v>7.0000000000000001E-3</v>
      </c>
      <c r="M56" s="9">
        <v>8.9999999999999993E-3</v>
      </c>
      <c r="N56" s="9">
        <f>AVERAGE(B56:M56)</f>
        <v>1.025E-2</v>
      </c>
    </row>
    <row r="57" spans="1:29" x14ac:dyDescent="0.25">
      <c r="A57" s="5" t="s">
        <v>96</v>
      </c>
      <c r="B57" s="9">
        <f>B56</f>
        <v>1.2E-2</v>
      </c>
      <c r="C57" s="9">
        <f>SUM($B$56:C$56)/COUNT($B$56:C$56)</f>
        <v>1.15E-2</v>
      </c>
      <c r="D57" s="9">
        <f>SUM($B$56:D$56)/COUNT($B$56:D$56)</f>
        <v>1.1999999999999999E-2</v>
      </c>
      <c r="E57" s="9">
        <f>SUM($B$56:E$56)/COUNT($B$56:E$56)</f>
        <v>1.15E-2</v>
      </c>
      <c r="F57" s="9">
        <f>SUM($B$56:F$56)/COUNT($B$56:F$56)</f>
        <v>1.0999999999999999E-2</v>
      </c>
      <c r="G57" s="9">
        <f>SUM($B$56:G$56)/COUNT($B$56:G$56)</f>
        <v>1.0833333333333334E-2</v>
      </c>
      <c r="H57" s="9">
        <f>SUM($B$56:H$56)/COUNT($B$56:H$56)</f>
        <v>1.1428571428571429E-2</v>
      </c>
      <c r="I57" s="9">
        <f>SUM($B$56:I$56)/COUNT($B$56:I$56)</f>
        <v>1.125E-2</v>
      </c>
      <c r="J57" s="9">
        <f>SUM($B$56:J$56)/COUNT($B$56:J$56)</f>
        <v>1.0888888888888889E-2</v>
      </c>
      <c r="K57" s="9">
        <f>SUM($B$56:K$56)/COUNT($B$56:K$56)</f>
        <v>1.0699999999999999E-2</v>
      </c>
      <c r="L57" s="9">
        <f>SUM($B$56:L$56)/COUNT($B$56:L$56)</f>
        <v>1.0363636363636365E-2</v>
      </c>
      <c r="M57" s="9">
        <f>SUM($B$56:M$56)/COUNT($B$56:M$56)</f>
        <v>1.025E-2</v>
      </c>
      <c r="N57" s="7"/>
    </row>
    <row r="58" spans="1:29" x14ac:dyDescent="0.25">
      <c r="A58" s="5" t="s">
        <v>43</v>
      </c>
      <c r="B58" s="4">
        <f>B55/B56</f>
        <v>1</v>
      </c>
      <c r="C58" s="4">
        <f t="shared" ref="C58:N58" si="27">C55/C56</f>
        <v>1.0909090909090911</v>
      </c>
      <c r="D58" s="4">
        <f t="shared" si="27"/>
        <v>0.92307692307692313</v>
      </c>
      <c r="E58" s="4">
        <f t="shared" si="27"/>
        <v>1.2</v>
      </c>
      <c r="F58" s="4">
        <f t="shared" si="27"/>
        <v>1.3333333333333335</v>
      </c>
      <c r="G58" s="4">
        <f t="shared" si="27"/>
        <v>1.2</v>
      </c>
      <c r="H58" s="4">
        <f t="shared" si="27"/>
        <v>0.8</v>
      </c>
      <c r="I58" s="4">
        <f t="shared" si="27"/>
        <v>1.2</v>
      </c>
      <c r="J58" s="4">
        <f t="shared" si="27"/>
        <v>1.5</v>
      </c>
      <c r="K58" s="4">
        <f t="shared" si="27"/>
        <v>1.3333333333333335</v>
      </c>
      <c r="L58" s="4">
        <f t="shared" si="27"/>
        <v>1.7142857142857142</v>
      </c>
      <c r="M58" s="4">
        <f t="shared" si="27"/>
        <v>1.3333333333333335</v>
      </c>
      <c r="N58" s="4">
        <f t="shared" si="27"/>
        <v>1.1707317073170729</v>
      </c>
    </row>
    <row r="61" spans="1:29" x14ac:dyDescent="0.25">
      <c r="A61" s="6" t="s">
        <v>50</v>
      </c>
    </row>
    <row r="62" spans="1:29" x14ac:dyDescent="0.25">
      <c r="A62" s="5" t="s">
        <v>287</v>
      </c>
      <c r="B62" s="5" t="s">
        <v>29</v>
      </c>
      <c r="C62" s="5" t="s">
        <v>30</v>
      </c>
      <c r="D62" s="5" t="s">
        <v>31</v>
      </c>
      <c r="E62" s="5" t="s">
        <v>32</v>
      </c>
      <c r="F62" s="5" t="s">
        <v>33</v>
      </c>
      <c r="G62" s="5" t="s">
        <v>34</v>
      </c>
      <c r="H62" s="5" t="s">
        <v>35</v>
      </c>
      <c r="I62" s="5" t="s">
        <v>36</v>
      </c>
      <c r="J62" s="5" t="s">
        <v>37</v>
      </c>
      <c r="K62" s="5" t="s">
        <v>38</v>
      </c>
      <c r="L62" s="5" t="s">
        <v>39</v>
      </c>
      <c r="M62" s="5" t="s">
        <v>40</v>
      </c>
      <c r="N62" s="5" t="s">
        <v>95</v>
      </c>
    </row>
    <row r="63" spans="1:29" x14ac:dyDescent="0.25">
      <c r="A63" s="5" t="s">
        <v>41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7">
        <f>SUM(B63:M63)</f>
        <v>0</v>
      </c>
    </row>
    <row r="64" spans="1:29" x14ac:dyDescent="0.25">
      <c r="A64" s="5" t="s">
        <v>42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7">
        <f>SUM(B64:M64)</f>
        <v>0</v>
      </c>
    </row>
    <row r="65" spans="1:29" x14ac:dyDescent="0.25">
      <c r="A65" s="5" t="s">
        <v>96</v>
      </c>
      <c r="B65" s="3">
        <f>B64</f>
        <v>0</v>
      </c>
      <c r="C65" s="3">
        <f>SUM($B$64:C$64)</f>
        <v>0</v>
      </c>
      <c r="D65" s="3">
        <f>SUM($B$64:D$64)</f>
        <v>0</v>
      </c>
      <c r="E65" s="3">
        <f>SUM($B$64:E$64)</f>
        <v>0</v>
      </c>
      <c r="F65" s="3">
        <f>SUM($B$64:F$64)</f>
        <v>0</v>
      </c>
      <c r="G65" s="3">
        <f>SUM($B$64:G$64)</f>
        <v>0</v>
      </c>
      <c r="H65" s="3">
        <f>SUM($B$64:H$64)</f>
        <v>0</v>
      </c>
      <c r="I65" s="3">
        <f>SUM($B$64:I$64)</f>
        <v>0</v>
      </c>
      <c r="J65" s="3">
        <f>SUM($B$64:J$64)</f>
        <v>0</v>
      </c>
      <c r="K65" s="3">
        <f>SUM($B$64:K$64)</f>
        <v>0</v>
      </c>
      <c r="L65" s="3">
        <f>SUM($B$64:L$64)</f>
        <v>0</v>
      </c>
      <c r="M65" s="3">
        <f>SUM($B$64:M$64)</f>
        <v>0</v>
      </c>
      <c r="N65" s="7"/>
    </row>
    <row r="66" spans="1:29" x14ac:dyDescent="0.25">
      <c r="A66" s="5" t="s">
        <v>43</v>
      </c>
      <c r="B66" s="8">
        <f>IF(B64=0,1,B64/B63)</f>
        <v>1</v>
      </c>
      <c r="C66" s="8">
        <f t="shared" ref="C66:M66" si="28">IF(C64=0,1,C64/C63)</f>
        <v>1</v>
      </c>
      <c r="D66" s="8">
        <f t="shared" si="28"/>
        <v>1</v>
      </c>
      <c r="E66" s="8">
        <f t="shared" si="28"/>
        <v>1</v>
      </c>
      <c r="F66" s="8">
        <f t="shared" si="28"/>
        <v>1</v>
      </c>
      <c r="G66" s="8">
        <f t="shared" si="28"/>
        <v>1</v>
      </c>
      <c r="H66" s="8">
        <f t="shared" si="28"/>
        <v>1</v>
      </c>
      <c r="I66" s="8">
        <f t="shared" si="28"/>
        <v>1</v>
      </c>
      <c r="J66" s="8">
        <f t="shared" si="28"/>
        <v>1</v>
      </c>
      <c r="K66" s="8">
        <f t="shared" si="28"/>
        <v>1</v>
      </c>
      <c r="L66" s="8">
        <f t="shared" si="28"/>
        <v>1</v>
      </c>
      <c r="M66" s="8">
        <f t="shared" si="28"/>
        <v>1</v>
      </c>
      <c r="N66" s="8" t="str">
        <f t="shared" ref="N66" si="29">IF(N64=0,"100%",N64/N63)</f>
        <v>100%</v>
      </c>
    </row>
    <row r="67" spans="1:29" x14ac:dyDescent="0.25">
      <c r="A67" s="5" t="s">
        <v>44</v>
      </c>
      <c r="B67" s="8">
        <f>B66</f>
        <v>1</v>
      </c>
      <c r="C67" s="4">
        <f>SUM($B$66:C$66)/COUNT($B$66:C$66)</f>
        <v>1</v>
      </c>
      <c r="D67" s="4">
        <f>SUM($B$66:D$66)/COUNT($B$66:D$66)</f>
        <v>1</v>
      </c>
      <c r="E67" s="4">
        <f>SUM($B$66:E$66)/COUNT($B$66:E$66)</f>
        <v>1</v>
      </c>
      <c r="F67" s="4">
        <f>SUM($B$66:F$66)/COUNT($B$66:F$66)</f>
        <v>1</v>
      </c>
      <c r="G67" s="4">
        <f>SUM($B$66:G$66)/COUNT($B$66:G$66)</f>
        <v>1</v>
      </c>
      <c r="H67" s="4">
        <f>SUM($B$66:H$66)/COUNT($B$66:H$66)</f>
        <v>1</v>
      </c>
      <c r="I67" s="4">
        <f>SUM($B$66:I$66)/COUNT($B$66:I$66)</f>
        <v>1</v>
      </c>
      <c r="J67" s="4">
        <f>SUM($B$66:J$66)/COUNT($B$66:J$66)</f>
        <v>1</v>
      </c>
      <c r="K67" s="4">
        <f>SUM($B$66:K$66)/COUNT($B$66:K$66)</f>
        <v>1</v>
      </c>
      <c r="L67" s="4">
        <f>SUM($B$66:L$66)/COUNT($B$66:L$66)</f>
        <v>1</v>
      </c>
      <c r="M67" s="4">
        <f>SUM($B$66:M$66)/COUNT($B$66:M$66)</f>
        <v>1</v>
      </c>
      <c r="N67" s="4"/>
    </row>
    <row r="69" spans="1:29" x14ac:dyDescent="0.25">
      <c r="A69" s="6" t="s">
        <v>52</v>
      </c>
    </row>
    <row r="70" spans="1:29" x14ac:dyDescent="0.25">
      <c r="A70" s="5" t="s">
        <v>54</v>
      </c>
      <c r="B70" s="5" t="s">
        <v>29</v>
      </c>
      <c r="C70" s="5" t="s">
        <v>30</v>
      </c>
      <c r="D70" s="5" t="s">
        <v>31</v>
      </c>
      <c r="E70" s="5" t="s">
        <v>32</v>
      </c>
      <c r="F70" s="5" t="s">
        <v>33</v>
      </c>
      <c r="G70" s="5" t="s">
        <v>34</v>
      </c>
      <c r="H70" s="5" t="s">
        <v>35</v>
      </c>
      <c r="I70" s="5" t="s">
        <v>36</v>
      </c>
      <c r="J70" s="5" t="s">
        <v>37</v>
      </c>
      <c r="K70" s="5" t="s">
        <v>38</v>
      </c>
      <c r="L70" s="5" t="s">
        <v>39</v>
      </c>
      <c r="M70" s="5" t="s">
        <v>40</v>
      </c>
      <c r="N70" s="5" t="s">
        <v>95</v>
      </c>
    </row>
    <row r="71" spans="1:29" x14ac:dyDescent="0.25">
      <c r="A71" s="5" t="s">
        <v>41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298">
        <f>SUM(B71:M71)</f>
        <v>0</v>
      </c>
    </row>
    <row r="72" spans="1:29" x14ac:dyDescent="0.25">
      <c r="A72" s="5" t="s">
        <v>42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298">
        <f>SUM(B72:M72)</f>
        <v>0</v>
      </c>
    </row>
    <row r="73" spans="1:29" ht="14.25" customHeight="1" x14ac:dyDescent="0.25">
      <c r="A73" s="5" t="s">
        <v>96</v>
      </c>
      <c r="B73" s="3">
        <f>B72</f>
        <v>0</v>
      </c>
      <c r="C73" s="3">
        <f>SUM($B$41:C$41)</f>
        <v>2.8666666666666667</v>
      </c>
      <c r="D73" s="3">
        <f>SUM($B$41:D$41)</f>
        <v>4.1333333333333329</v>
      </c>
      <c r="E73" s="3">
        <f>SUM($B$41:E$41)</f>
        <v>5.4333333333333327</v>
      </c>
      <c r="F73" s="3">
        <f>SUM($B$41:F$41)</f>
        <v>6.6999999999999993</v>
      </c>
      <c r="G73" s="3">
        <f>SUM($B$41:G$41)</f>
        <v>7.9666666666666659</v>
      </c>
      <c r="H73" s="3">
        <f>SUM($B$41:H$41)</f>
        <v>9.0666666666666664</v>
      </c>
      <c r="I73" s="3">
        <f>SUM($B$41:I$41)</f>
        <v>10.533333333333333</v>
      </c>
      <c r="J73" s="3">
        <f>SUM($B$41:J$41)</f>
        <v>11.966666666666667</v>
      </c>
      <c r="K73" s="3">
        <f>SUM($B$41:K$41)</f>
        <v>13.466666666666667</v>
      </c>
      <c r="L73" s="3">
        <f>SUM($B$41:L$41)</f>
        <v>14.866666666666667</v>
      </c>
      <c r="M73" s="3">
        <f>SUM($B$41:M$41)</f>
        <v>16.416666666666668</v>
      </c>
      <c r="N73" s="7"/>
    </row>
    <row r="74" spans="1:29" x14ac:dyDescent="0.25">
      <c r="A74" s="5" t="s">
        <v>43</v>
      </c>
      <c r="B74" s="8">
        <f>IF(B72=0,1,B72/B71)</f>
        <v>1</v>
      </c>
      <c r="C74" s="8">
        <f t="shared" ref="C74:M74" si="30">IF(C72=0,1,C72/C71)</f>
        <v>1</v>
      </c>
      <c r="D74" s="8">
        <f t="shared" si="30"/>
        <v>1</v>
      </c>
      <c r="E74" s="8">
        <f t="shared" si="30"/>
        <v>1</v>
      </c>
      <c r="F74" s="8">
        <f t="shared" si="30"/>
        <v>1</v>
      </c>
      <c r="G74" s="8">
        <f t="shared" si="30"/>
        <v>1</v>
      </c>
      <c r="H74" s="8">
        <f t="shared" si="30"/>
        <v>1</v>
      </c>
      <c r="I74" s="8">
        <f t="shared" si="30"/>
        <v>1</v>
      </c>
      <c r="J74" s="8">
        <f t="shared" si="30"/>
        <v>1</v>
      </c>
      <c r="K74" s="8">
        <f t="shared" si="30"/>
        <v>1</v>
      </c>
      <c r="L74" s="8">
        <f t="shared" si="30"/>
        <v>1</v>
      </c>
      <c r="M74" s="8">
        <f t="shared" si="30"/>
        <v>1</v>
      </c>
      <c r="N74" s="8" t="str">
        <f t="shared" ref="N74" si="31">IF(N72=0,"100%",N72/N71)</f>
        <v>100%</v>
      </c>
    </row>
    <row r="75" spans="1:29" x14ac:dyDescent="0.25">
      <c r="A75" s="5" t="s">
        <v>44</v>
      </c>
      <c r="B75" s="8">
        <f>B74</f>
        <v>1</v>
      </c>
      <c r="C75" s="4" t="e">
        <f>SUM($B$43:C$43)/COUNT($B$43:C$43)</f>
        <v>#DIV/0!</v>
      </c>
      <c r="D75" s="4" t="e">
        <f>SUM($B$43:D$43)/COUNT($B$43:D$43)</f>
        <v>#DIV/0!</v>
      </c>
      <c r="E75" s="4" t="e">
        <f>SUM($B$43:E$43)/COUNT($B$43:E$43)</f>
        <v>#DIV/0!</v>
      </c>
      <c r="F75" s="4" t="e">
        <f>SUM($B$43:F$43)/COUNT($B$43:F$43)</f>
        <v>#DIV/0!</v>
      </c>
      <c r="G75" s="4" t="e">
        <f>SUM($B$43:G$43)/COUNT($B$43:G$43)</f>
        <v>#DIV/0!</v>
      </c>
      <c r="H75" s="4" t="e">
        <f>SUM($B$43:H$43)/COUNT($B$43:H$43)</f>
        <v>#DIV/0!</v>
      </c>
      <c r="I75" s="4" t="e">
        <f>SUM($B$43:I$43)/COUNT($B$43:I$43)</f>
        <v>#DIV/0!</v>
      </c>
      <c r="J75" s="4" t="e">
        <f>SUM($B$43:J$43)/COUNT($B$43:J$43)</f>
        <v>#DIV/0!</v>
      </c>
      <c r="K75" s="4" t="e">
        <f>SUM($B$43:K$43)/COUNT($B$43:K$43)</f>
        <v>#DIV/0!</v>
      </c>
      <c r="L75" s="4" t="e">
        <f>SUM($B$43:L$43)/COUNT($B$43:L$43)</f>
        <v>#DIV/0!</v>
      </c>
      <c r="M75" s="4" t="e">
        <f>SUM($B$43:M$43)/COUNT($B$43:M$43)</f>
        <v>#DIV/0!</v>
      </c>
      <c r="N75" s="4"/>
    </row>
    <row r="76" spans="1:29" x14ac:dyDescent="0.25">
      <c r="A76" s="303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</row>
    <row r="77" spans="1:29" x14ac:dyDescent="0.25">
      <c r="A77" s="303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</row>
    <row r="78" spans="1:29" x14ac:dyDescent="0.25">
      <c r="A78" s="6" t="s">
        <v>52</v>
      </c>
    </row>
    <row r="79" spans="1:29" x14ac:dyDescent="0.25">
      <c r="A79" s="5" t="s">
        <v>288</v>
      </c>
      <c r="B79" s="5" t="s">
        <v>29</v>
      </c>
      <c r="C79" s="5" t="s">
        <v>30</v>
      </c>
      <c r="D79" s="5" t="s">
        <v>31</v>
      </c>
      <c r="E79" s="5" t="s">
        <v>32</v>
      </c>
      <c r="F79" s="5" t="s">
        <v>33</v>
      </c>
      <c r="G79" s="5" t="s">
        <v>34</v>
      </c>
      <c r="H79" s="5" t="s">
        <v>35</v>
      </c>
      <c r="I79" s="5" t="s">
        <v>36</v>
      </c>
      <c r="J79" s="5" t="s">
        <v>37</v>
      </c>
      <c r="K79" s="5" t="s">
        <v>38</v>
      </c>
      <c r="L79" s="5" t="s">
        <v>39</v>
      </c>
      <c r="M79" s="5" t="s">
        <v>40</v>
      </c>
      <c r="N79" s="5" t="s">
        <v>95</v>
      </c>
      <c r="P79" s="5" t="s">
        <v>237</v>
      </c>
      <c r="Q79" s="5" t="s">
        <v>29</v>
      </c>
      <c r="R79" s="5" t="s">
        <v>30</v>
      </c>
      <c r="S79" s="5" t="s">
        <v>31</v>
      </c>
      <c r="T79" s="5" t="s">
        <v>32</v>
      </c>
      <c r="U79" s="5" t="s">
        <v>33</v>
      </c>
      <c r="V79" s="5" t="s">
        <v>34</v>
      </c>
      <c r="W79" s="5" t="s">
        <v>35</v>
      </c>
      <c r="X79" s="5" t="s">
        <v>36</v>
      </c>
      <c r="Y79" s="5" t="s">
        <v>37</v>
      </c>
      <c r="Z79" s="5" t="s">
        <v>38</v>
      </c>
      <c r="AA79" s="5" t="s">
        <v>39</v>
      </c>
      <c r="AB79" s="5" t="s">
        <v>40</v>
      </c>
      <c r="AC79" s="5" t="s">
        <v>95</v>
      </c>
    </row>
    <row r="80" spans="1:29" x14ac:dyDescent="0.25">
      <c r="A80" s="5" t="s">
        <v>41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298">
        <f>SUM(B80:M80)</f>
        <v>0</v>
      </c>
      <c r="P80" s="5" t="s">
        <v>112</v>
      </c>
      <c r="Q80" s="298">
        <v>0</v>
      </c>
      <c r="R80" s="298">
        <v>0</v>
      </c>
      <c r="S80" s="298">
        <v>0</v>
      </c>
      <c r="T80" s="298">
        <v>0</v>
      </c>
      <c r="U80" s="298">
        <v>0</v>
      </c>
      <c r="V80" s="298">
        <v>0</v>
      </c>
      <c r="W80" s="298">
        <v>0</v>
      </c>
      <c r="X80" s="298">
        <v>0</v>
      </c>
      <c r="Y80" s="298">
        <v>0</v>
      </c>
      <c r="Z80" s="298">
        <v>0</v>
      </c>
      <c r="AA80" s="298">
        <v>0</v>
      </c>
      <c r="AB80" s="298">
        <v>0</v>
      </c>
      <c r="AC80" s="298">
        <f>SUM(Q80:AB80)</f>
        <v>0</v>
      </c>
    </row>
    <row r="81" spans="1:29" x14ac:dyDescent="0.25">
      <c r="A81" s="5" t="s">
        <v>42</v>
      </c>
      <c r="B81" s="3">
        <f>Q84</f>
        <v>0</v>
      </c>
      <c r="C81" s="3">
        <f t="shared" ref="C81:M81" si="32">R84</f>
        <v>0</v>
      </c>
      <c r="D81" s="3">
        <f t="shared" si="32"/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3">
        <f t="shared" si="32"/>
        <v>0</v>
      </c>
      <c r="K81" s="3">
        <f t="shared" si="32"/>
        <v>0</v>
      </c>
      <c r="L81" s="3">
        <f t="shared" si="32"/>
        <v>0</v>
      </c>
      <c r="M81" s="3">
        <f t="shared" si="32"/>
        <v>0</v>
      </c>
      <c r="N81" s="298">
        <f>SUM(B81:M81)</f>
        <v>0</v>
      </c>
      <c r="P81" s="5" t="s">
        <v>322</v>
      </c>
      <c r="Q81" s="298">
        <v>0</v>
      </c>
      <c r="R81" s="298">
        <v>0</v>
      </c>
      <c r="S81" s="298">
        <v>0</v>
      </c>
      <c r="T81" s="298">
        <v>0</v>
      </c>
      <c r="U81" s="298">
        <v>0</v>
      </c>
      <c r="V81" s="298">
        <v>0</v>
      </c>
      <c r="W81" s="298">
        <v>0</v>
      </c>
      <c r="X81" s="298">
        <v>0</v>
      </c>
      <c r="Y81" s="298">
        <v>0</v>
      </c>
      <c r="Z81" s="298">
        <v>0</v>
      </c>
      <c r="AA81" s="298">
        <v>0</v>
      </c>
      <c r="AB81" s="298">
        <v>0</v>
      </c>
      <c r="AC81" s="298">
        <f t="shared" ref="AC81:AC83" si="33">SUM(Q81:AB81)</f>
        <v>0</v>
      </c>
    </row>
    <row r="82" spans="1:29" ht="14.25" customHeight="1" x14ac:dyDescent="0.25">
      <c r="A82" s="5" t="s">
        <v>96</v>
      </c>
      <c r="B82" s="3">
        <f>B81</f>
        <v>0</v>
      </c>
      <c r="C82" s="3">
        <f>SUM($B$81:C$81)</f>
        <v>0</v>
      </c>
      <c r="D82" s="3">
        <f>SUM($B$81:D$81)</f>
        <v>0</v>
      </c>
      <c r="E82" s="3">
        <f>SUM($B$81:E$81)</f>
        <v>0</v>
      </c>
      <c r="F82" s="3">
        <f>SUM($B$81:F$81)</f>
        <v>0</v>
      </c>
      <c r="G82" s="3">
        <f>SUM($B$81:G$81)</f>
        <v>0</v>
      </c>
      <c r="H82" s="3">
        <f>SUM($B$81:H$81)</f>
        <v>0</v>
      </c>
      <c r="I82" s="3">
        <f>SUM($B$81:I$81)</f>
        <v>0</v>
      </c>
      <c r="J82" s="3">
        <f>SUM($B$81:J$81)</f>
        <v>0</v>
      </c>
      <c r="K82" s="3">
        <f>SUM($B$81:K$81)</f>
        <v>0</v>
      </c>
      <c r="L82" s="3">
        <f>SUM($B$81:L$81)</f>
        <v>0</v>
      </c>
      <c r="M82" s="3">
        <f>SUM($B$81:M$81)</f>
        <v>0</v>
      </c>
      <c r="N82" s="7"/>
      <c r="P82" s="5" t="s">
        <v>114</v>
      </c>
      <c r="Q82" s="298">
        <v>0</v>
      </c>
      <c r="R82" s="298">
        <v>0</v>
      </c>
      <c r="S82" s="298">
        <v>0</v>
      </c>
      <c r="T82" s="298">
        <v>0</v>
      </c>
      <c r="U82" s="298">
        <v>0</v>
      </c>
      <c r="V82" s="298">
        <v>0</v>
      </c>
      <c r="W82" s="298">
        <v>0</v>
      </c>
      <c r="X82" s="298">
        <v>0</v>
      </c>
      <c r="Y82" s="298">
        <v>0</v>
      </c>
      <c r="Z82" s="298">
        <v>0</v>
      </c>
      <c r="AA82" s="298">
        <v>0</v>
      </c>
      <c r="AB82" s="298">
        <v>0</v>
      </c>
      <c r="AC82" s="298">
        <f t="shared" si="33"/>
        <v>0</v>
      </c>
    </row>
    <row r="83" spans="1:29" x14ac:dyDescent="0.25">
      <c r="A83" s="5" t="s">
        <v>43</v>
      </c>
      <c r="B83" s="8">
        <f>IF(B81=0,1,B81/B80)</f>
        <v>1</v>
      </c>
      <c r="C83" s="8">
        <f t="shared" ref="C83:M83" si="34">IF(C81=0,1,C81/C80)</f>
        <v>1</v>
      </c>
      <c r="D83" s="8">
        <f t="shared" si="34"/>
        <v>1</v>
      </c>
      <c r="E83" s="8">
        <f t="shared" si="34"/>
        <v>1</v>
      </c>
      <c r="F83" s="8">
        <f t="shared" si="34"/>
        <v>1</v>
      </c>
      <c r="G83" s="8">
        <f t="shared" si="34"/>
        <v>1</v>
      </c>
      <c r="H83" s="8">
        <f t="shared" si="34"/>
        <v>1</v>
      </c>
      <c r="I83" s="8">
        <f t="shared" si="34"/>
        <v>1</v>
      </c>
      <c r="J83" s="8">
        <f t="shared" si="34"/>
        <v>1</v>
      </c>
      <c r="K83" s="8">
        <f t="shared" si="34"/>
        <v>1</v>
      </c>
      <c r="L83" s="8">
        <f t="shared" si="34"/>
        <v>1</v>
      </c>
      <c r="M83" s="8">
        <f t="shared" si="34"/>
        <v>1</v>
      </c>
      <c r="N83" s="8" t="str">
        <f t="shared" ref="N83" si="35">IF(N81=0,"100%",N81/N80)</f>
        <v>100%</v>
      </c>
      <c r="P83" s="5" t="s">
        <v>323</v>
      </c>
      <c r="Q83" s="298">
        <v>0</v>
      </c>
      <c r="R83" s="298">
        <v>0</v>
      </c>
      <c r="S83" s="298">
        <v>0</v>
      </c>
      <c r="T83" s="298">
        <v>0</v>
      </c>
      <c r="U83" s="298">
        <v>0</v>
      </c>
      <c r="V83" s="298">
        <v>0</v>
      </c>
      <c r="W83" s="298">
        <v>0</v>
      </c>
      <c r="X83" s="298">
        <v>0</v>
      </c>
      <c r="Y83" s="298">
        <v>0</v>
      </c>
      <c r="Z83" s="298">
        <v>0</v>
      </c>
      <c r="AA83" s="298">
        <v>0</v>
      </c>
      <c r="AB83" s="298">
        <v>0</v>
      </c>
      <c r="AC83" s="298">
        <f t="shared" si="33"/>
        <v>0</v>
      </c>
    </row>
    <row r="84" spans="1:29" x14ac:dyDescent="0.25">
      <c r="A84" s="5" t="s">
        <v>44</v>
      </c>
      <c r="B84" s="8">
        <f>B83</f>
        <v>1</v>
      </c>
      <c r="C84" s="4" t="e">
        <f>SUM($B$43:C$43)/COUNT($B$43:C$43)</f>
        <v>#DIV/0!</v>
      </c>
      <c r="D84" s="4" t="e">
        <f>SUM($B$43:D$43)/COUNT($B$43:D$43)</f>
        <v>#DIV/0!</v>
      </c>
      <c r="E84" s="4" t="e">
        <f>SUM($B$43:E$43)/COUNT($B$43:E$43)</f>
        <v>#DIV/0!</v>
      </c>
      <c r="F84" s="4" t="e">
        <f>SUM($B$43:F$43)/COUNT($B$43:F$43)</f>
        <v>#DIV/0!</v>
      </c>
      <c r="G84" s="4" t="e">
        <f>SUM($B$43:G$43)/COUNT($B$43:G$43)</f>
        <v>#DIV/0!</v>
      </c>
      <c r="H84" s="4" t="e">
        <f>SUM($B$43:H$43)/COUNT($B$43:H$43)</f>
        <v>#DIV/0!</v>
      </c>
      <c r="I84" s="4" t="e">
        <f>SUM($B$43:I$43)/COUNT($B$43:I$43)</f>
        <v>#DIV/0!</v>
      </c>
      <c r="J84" s="4" t="e">
        <f>SUM($B$43:J$43)/COUNT($B$43:J$43)</f>
        <v>#DIV/0!</v>
      </c>
      <c r="K84" s="4" t="e">
        <f>SUM($B$43:K$43)/COUNT($B$43:K$43)</f>
        <v>#DIV/0!</v>
      </c>
      <c r="L84" s="4" t="e">
        <f>SUM($B$43:L$43)/COUNT($B$43:L$43)</f>
        <v>#DIV/0!</v>
      </c>
      <c r="M84" s="4" t="e">
        <f>SUM($B$43:M$43)/COUNT($B$43:M$43)</f>
        <v>#DIV/0!</v>
      </c>
      <c r="N84" s="4"/>
      <c r="P84" s="5" t="s">
        <v>321</v>
      </c>
      <c r="Q84" s="311">
        <f>SUM(Q80:Q83)</f>
        <v>0</v>
      </c>
      <c r="R84" s="311">
        <f t="shared" ref="R84:AC84" si="36">SUM(R80:R83)</f>
        <v>0</v>
      </c>
      <c r="S84" s="311">
        <f t="shared" si="36"/>
        <v>0</v>
      </c>
      <c r="T84" s="311">
        <f t="shared" si="36"/>
        <v>0</v>
      </c>
      <c r="U84" s="311">
        <f t="shared" si="36"/>
        <v>0</v>
      </c>
      <c r="V84" s="311">
        <f t="shared" si="36"/>
        <v>0</v>
      </c>
      <c r="W84" s="311">
        <f t="shared" si="36"/>
        <v>0</v>
      </c>
      <c r="X84" s="311">
        <f t="shared" si="36"/>
        <v>0</v>
      </c>
      <c r="Y84" s="311">
        <f t="shared" si="36"/>
        <v>0</v>
      </c>
      <c r="Z84" s="311">
        <f t="shared" si="36"/>
        <v>0</v>
      </c>
      <c r="AA84" s="311">
        <f t="shared" si="36"/>
        <v>0</v>
      </c>
      <c r="AB84" s="311">
        <f t="shared" si="36"/>
        <v>0</v>
      </c>
      <c r="AC84" s="311">
        <f t="shared" si="36"/>
        <v>0</v>
      </c>
    </row>
    <row r="85" spans="1:29" x14ac:dyDescent="0.25">
      <c r="A85" s="303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P85" s="303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</row>
    <row r="86" spans="1:29" x14ac:dyDescent="0.25">
      <c r="A86" s="303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</row>
    <row r="87" spans="1:29" x14ac:dyDescent="0.25">
      <c r="A87" s="6" t="s">
        <v>52</v>
      </c>
      <c r="B87">
        <v>1</v>
      </c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</row>
    <row r="88" spans="1:29" s="307" customFormat="1" ht="45" x14ac:dyDescent="0.25">
      <c r="A88" s="306" t="s">
        <v>289</v>
      </c>
      <c r="B88" s="284" t="s">
        <v>29</v>
      </c>
      <c r="C88" s="284" t="s">
        <v>30</v>
      </c>
      <c r="D88" s="284" t="s">
        <v>31</v>
      </c>
      <c r="E88" s="284" t="s">
        <v>32</v>
      </c>
      <c r="F88" s="284" t="s">
        <v>33</v>
      </c>
      <c r="G88" s="284" t="s">
        <v>34</v>
      </c>
      <c r="H88" s="284" t="s">
        <v>35</v>
      </c>
      <c r="I88" s="284" t="s">
        <v>36</v>
      </c>
      <c r="J88" s="284" t="s">
        <v>37</v>
      </c>
      <c r="K88" s="284" t="s">
        <v>38</v>
      </c>
      <c r="L88" s="284" t="s">
        <v>39</v>
      </c>
      <c r="M88" s="284" t="s">
        <v>40</v>
      </c>
      <c r="N88" s="284" t="s">
        <v>95</v>
      </c>
    </row>
    <row r="89" spans="1:29" s="307" customFormat="1" ht="30" x14ac:dyDescent="0.25">
      <c r="A89" s="306" t="s">
        <v>291</v>
      </c>
      <c r="B89" s="312">
        <v>1</v>
      </c>
      <c r="C89" s="312">
        <v>2</v>
      </c>
      <c r="D89" s="312">
        <v>1</v>
      </c>
      <c r="E89" s="312">
        <v>1</v>
      </c>
      <c r="F89" s="312">
        <v>1</v>
      </c>
      <c r="G89" s="312">
        <v>2</v>
      </c>
      <c r="H89" s="312">
        <v>4</v>
      </c>
      <c r="I89" s="312">
        <v>3</v>
      </c>
      <c r="J89" s="312">
        <v>5</v>
      </c>
      <c r="K89" s="312">
        <v>6</v>
      </c>
      <c r="L89" s="312">
        <v>2</v>
      </c>
      <c r="M89" s="312">
        <v>7</v>
      </c>
      <c r="N89" s="312">
        <f>SUM(B89:M89)</f>
        <v>35</v>
      </c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5">
      <c r="A90" s="5" t="s">
        <v>292</v>
      </c>
      <c r="B90" s="10">
        <f t="shared" ref="B90:M90" si="37">B89*B92</f>
        <v>14</v>
      </c>
      <c r="C90" s="10">
        <f t="shared" si="37"/>
        <v>28</v>
      </c>
      <c r="D90" s="10">
        <f t="shared" si="37"/>
        <v>14</v>
      </c>
      <c r="E90" s="10">
        <f t="shared" si="37"/>
        <v>14</v>
      </c>
      <c r="F90" s="10">
        <f t="shared" si="37"/>
        <v>14</v>
      </c>
      <c r="G90" s="10">
        <f t="shared" si="37"/>
        <v>28</v>
      </c>
      <c r="H90" s="10">
        <f t="shared" si="37"/>
        <v>56</v>
      </c>
      <c r="I90" s="10">
        <f t="shared" si="37"/>
        <v>42</v>
      </c>
      <c r="J90" s="10">
        <f t="shared" si="37"/>
        <v>70</v>
      </c>
      <c r="K90" s="10">
        <f t="shared" si="37"/>
        <v>84</v>
      </c>
      <c r="L90" s="10">
        <f t="shared" si="37"/>
        <v>28</v>
      </c>
      <c r="M90" s="10">
        <f t="shared" si="37"/>
        <v>98</v>
      </c>
      <c r="N90" s="10">
        <f>SUM(B90:M90)</f>
        <v>490</v>
      </c>
    </row>
    <row r="91" spans="1:29" x14ac:dyDescent="0.25">
      <c r="A91" s="5" t="s">
        <v>302</v>
      </c>
      <c r="B91" s="10">
        <v>14</v>
      </c>
      <c r="C91" s="10">
        <v>29</v>
      </c>
      <c r="D91" s="10">
        <v>13</v>
      </c>
      <c r="E91" s="10">
        <v>14</v>
      </c>
      <c r="F91" s="10">
        <v>14</v>
      </c>
      <c r="G91" s="10">
        <v>27</v>
      </c>
      <c r="H91" s="10">
        <v>55</v>
      </c>
      <c r="I91" s="10">
        <v>41</v>
      </c>
      <c r="J91" s="10">
        <v>70</v>
      </c>
      <c r="K91" s="10">
        <v>84</v>
      </c>
      <c r="L91" s="10">
        <v>28</v>
      </c>
      <c r="M91" s="10">
        <v>98</v>
      </c>
      <c r="N91" s="10">
        <f>SUM(B91:M91)</f>
        <v>487</v>
      </c>
    </row>
    <row r="92" spans="1:29" x14ac:dyDescent="0.25">
      <c r="A92" s="5" t="s">
        <v>290</v>
      </c>
      <c r="B92" s="10">
        <v>14</v>
      </c>
      <c r="C92" s="10">
        <v>14</v>
      </c>
      <c r="D92" s="10">
        <v>14</v>
      </c>
      <c r="E92" s="10">
        <v>14</v>
      </c>
      <c r="F92" s="10">
        <v>14</v>
      </c>
      <c r="G92" s="10">
        <v>14</v>
      </c>
      <c r="H92" s="10">
        <v>14</v>
      </c>
      <c r="I92" s="10">
        <v>14</v>
      </c>
      <c r="J92" s="10">
        <v>14</v>
      </c>
      <c r="K92" s="10">
        <v>14</v>
      </c>
      <c r="L92" s="10">
        <v>14</v>
      </c>
      <c r="M92" s="10">
        <v>14</v>
      </c>
      <c r="N92" s="10">
        <f>AVERAGE(B92:M92)</f>
        <v>14</v>
      </c>
    </row>
    <row r="93" spans="1:29" x14ac:dyDescent="0.25">
      <c r="A93" s="5" t="s">
        <v>303</v>
      </c>
      <c r="B93" s="10">
        <f t="shared" ref="B93:N93" si="38">B91/B89</f>
        <v>14</v>
      </c>
      <c r="C93" s="10">
        <f t="shared" si="38"/>
        <v>14.5</v>
      </c>
      <c r="D93" s="10">
        <f t="shared" si="38"/>
        <v>13</v>
      </c>
      <c r="E93" s="10">
        <f t="shared" si="38"/>
        <v>14</v>
      </c>
      <c r="F93" s="10">
        <f t="shared" si="38"/>
        <v>14</v>
      </c>
      <c r="G93" s="10">
        <f t="shared" si="38"/>
        <v>13.5</v>
      </c>
      <c r="H93" s="10">
        <f t="shared" si="38"/>
        <v>13.75</v>
      </c>
      <c r="I93" s="10">
        <f t="shared" si="38"/>
        <v>13.666666666666666</v>
      </c>
      <c r="J93" s="10">
        <f t="shared" si="38"/>
        <v>14</v>
      </c>
      <c r="K93" s="10">
        <f t="shared" si="38"/>
        <v>14</v>
      </c>
      <c r="L93" s="10">
        <f t="shared" si="38"/>
        <v>14</v>
      </c>
      <c r="M93" s="10">
        <f t="shared" si="38"/>
        <v>14</v>
      </c>
      <c r="N93" s="10">
        <f t="shared" si="38"/>
        <v>13.914285714285715</v>
      </c>
    </row>
    <row r="94" spans="1:29" x14ac:dyDescent="0.25">
      <c r="A94" s="5" t="s">
        <v>43</v>
      </c>
      <c r="B94" s="8">
        <f>B93/B92</f>
        <v>1</v>
      </c>
      <c r="C94" s="8">
        <f t="shared" ref="C94:M94" si="39">C93/C92</f>
        <v>1.0357142857142858</v>
      </c>
      <c r="D94" s="8">
        <f t="shared" si="39"/>
        <v>0.9285714285714286</v>
      </c>
      <c r="E94" s="8">
        <f t="shared" si="39"/>
        <v>1</v>
      </c>
      <c r="F94" s="8">
        <f t="shared" si="39"/>
        <v>1</v>
      </c>
      <c r="G94" s="8">
        <f t="shared" si="39"/>
        <v>0.9642857142857143</v>
      </c>
      <c r="H94" s="8">
        <f t="shared" si="39"/>
        <v>0.9821428571428571</v>
      </c>
      <c r="I94" s="8">
        <f t="shared" si="39"/>
        <v>0.97619047619047616</v>
      </c>
      <c r="J94" s="8">
        <f t="shared" si="39"/>
        <v>1</v>
      </c>
      <c r="K94" s="8">
        <f t="shared" si="39"/>
        <v>1</v>
      </c>
      <c r="L94" s="8">
        <f t="shared" si="39"/>
        <v>1</v>
      </c>
      <c r="M94" s="8">
        <f t="shared" si="39"/>
        <v>1</v>
      </c>
      <c r="N94" s="8">
        <f>N93/N92</f>
        <v>0.9938775510204082</v>
      </c>
    </row>
    <row r="95" spans="1:29" x14ac:dyDescent="0.25">
      <c r="A95" s="5" t="s">
        <v>44</v>
      </c>
      <c r="B95" s="8">
        <f>B91/B90</f>
        <v>1</v>
      </c>
      <c r="C95" s="4" t="e">
        <f>SUM($B$59:C$59)/SUM(#REF!)</f>
        <v>#REF!</v>
      </c>
      <c r="D95" s="4" t="e">
        <f>SUM($B$59:D$59)/SUM(#REF!)</f>
        <v>#REF!</v>
      </c>
      <c r="E95" s="4" t="e">
        <f>SUM($B$59:E$59)/SUM(#REF!)</f>
        <v>#REF!</v>
      </c>
      <c r="F95" s="4" t="e">
        <f>SUM($B$59:F$59)/SUM(#REF!)</f>
        <v>#REF!</v>
      </c>
      <c r="G95" s="4" t="e">
        <f>SUM($B$59:G$59)/SUM(#REF!)</f>
        <v>#REF!</v>
      </c>
      <c r="H95" s="4" t="e">
        <f>SUM($B$59:H$59)/SUM(#REF!)</f>
        <v>#REF!</v>
      </c>
      <c r="I95" s="4" t="e">
        <f>SUM($B$59:I$59)/SUM(#REF!)</f>
        <v>#REF!</v>
      </c>
      <c r="J95" s="4" t="e">
        <f>SUM($B$59:J$59)/SUM(#REF!)</f>
        <v>#REF!</v>
      </c>
      <c r="K95" s="4" t="e">
        <f>SUM($B$59:K$59)/SUM(#REF!)</f>
        <v>#REF!</v>
      </c>
      <c r="L95" s="4" t="e">
        <f>SUM($B$59:L$59)/SUM(#REF!)</f>
        <v>#REF!</v>
      </c>
      <c r="M95" s="4" t="e">
        <f>SUM($B$59:M$59)/SUM(#REF!)</f>
        <v>#REF!</v>
      </c>
      <c r="N95" s="4"/>
    </row>
    <row r="96" spans="1:29" x14ac:dyDescent="0.25">
      <c r="A96" s="303"/>
      <c r="B96" s="304"/>
      <c r="C96" s="308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</row>
    <row r="99" spans="1:29" x14ac:dyDescent="0.25">
      <c r="A99" s="6" t="s">
        <v>298</v>
      </c>
    </row>
    <row r="100" spans="1:29" x14ac:dyDescent="0.25">
      <c r="A100" s="5" t="s">
        <v>297</v>
      </c>
      <c r="B100" s="5" t="s">
        <v>29</v>
      </c>
      <c r="C100" s="5" t="s">
        <v>30</v>
      </c>
      <c r="D100" s="5" t="s">
        <v>31</v>
      </c>
      <c r="E100" s="5" t="s">
        <v>32</v>
      </c>
      <c r="F100" s="5" t="s">
        <v>33</v>
      </c>
      <c r="G100" s="5" t="s">
        <v>34</v>
      </c>
      <c r="H100" s="5" t="s">
        <v>35</v>
      </c>
      <c r="I100" s="5" t="s">
        <v>36</v>
      </c>
      <c r="J100" s="5" t="s">
        <v>37</v>
      </c>
      <c r="K100" s="5" t="s">
        <v>38</v>
      </c>
      <c r="L100" s="5" t="s">
        <v>39</v>
      </c>
      <c r="M100" s="5" t="s">
        <v>40</v>
      </c>
      <c r="N100" s="5" t="s">
        <v>95</v>
      </c>
      <c r="P100" s="5" t="s">
        <v>237</v>
      </c>
      <c r="Q100" s="5" t="s">
        <v>29</v>
      </c>
      <c r="R100" s="5" t="s">
        <v>30</v>
      </c>
      <c r="S100" s="5" t="s">
        <v>31</v>
      </c>
      <c r="T100" s="5" t="s">
        <v>32</v>
      </c>
      <c r="U100" s="5" t="s">
        <v>33</v>
      </c>
      <c r="V100" s="5" t="s">
        <v>34</v>
      </c>
      <c r="W100" s="5" t="s">
        <v>35</v>
      </c>
      <c r="X100" s="5" t="s">
        <v>36</v>
      </c>
      <c r="Y100" s="5" t="s">
        <v>37</v>
      </c>
      <c r="Z100" s="5" t="s">
        <v>38</v>
      </c>
      <c r="AA100" s="5" t="s">
        <v>39</v>
      </c>
      <c r="AB100" s="5" t="s">
        <v>40</v>
      </c>
      <c r="AC100" s="5" t="s">
        <v>95</v>
      </c>
    </row>
    <row r="101" spans="1:29" x14ac:dyDescent="0.25">
      <c r="A101" s="5" t="s">
        <v>41</v>
      </c>
      <c r="B101" s="4">
        <v>0.75</v>
      </c>
      <c r="C101" s="4">
        <v>0.75</v>
      </c>
      <c r="D101" s="4">
        <v>0.75</v>
      </c>
      <c r="E101" s="4">
        <v>0.75</v>
      </c>
      <c r="F101" s="4">
        <v>0.75</v>
      </c>
      <c r="G101" s="4">
        <v>0.75</v>
      </c>
      <c r="H101" s="4">
        <v>0.75</v>
      </c>
      <c r="I101" s="4">
        <v>0.75</v>
      </c>
      <c r="J101" s="4">
        <v>0.75</v>
      </c>
      <c r="K101" s="4">
        <v>0.75</v>
      </c>
      <c r="L101" s="4">
        <v>0.75</v>
      </c>
      <c r="M101" s="4">
        <v>0.75</v>
      </c>
      <c r="N101" s="4">
        <f>AVERAGE(B101:M101)</f>
        <v>0.75</v>
      </c>
      <c r="P101" s="5" t="s">
        <v>112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f>AVERAGE(Q101:AB101)</f>
        <v>1</v>
      </c>
    </row>
    <row r="102" spans="1:29" x14ac:dyDescent="0.25">
      <c r="A102" s="5" t="s">
        <v>42</v>
      </c>
      <c r="B102" s="4">
        <f>Q105</f>
        <v>1</v>
      </c>
      <c r="C102" s="4">
        <f t="shared" ref="C102:M102" si="40">R105</f>
        <v>1</v>
      </c>
      <c r="D102" s="4">
        <f t="shared" si="40"/>
        <v>1</v>
      </c>
      <c r="E102" s="4">
        <f t="shared" si="40"/>
        <v>1</v>
      </c>
      <c r="F102" s="4">
        <f t="shared" si="40"/>
        <v>1</v>
      </c>
      <c r="G102" s="4">
        <f t="shared" si="40"/>
        <v>1</v>
      </c>
      <c r="H102" s="4">
        <f t="shared" si="40"/>
        <v>1</v>
      </c>
      <c r="I102" s="4">
        <f t="shared" si="40"/>
        <v>1</v>
      </c>
      <c r="J102" s="4">
        <f t="shared" si="40"/>
        <v>1</v>
      </c>
      <c r="K102" s="4">
        <f t="shared" si="40"/>
        <v>1</v>
      </c>
      <c r="L102" s="4">
        <f t="shared" si="40"/>
        <v>1</v>
      </c>
      <c r="M102" s="4">
        <f t="shared" si="40"/>
        <v>1</v>
      </c>
      <c r="N102" s="4">
        <f>AVERAGE(B102:M102)</f>
        <v>1</v>
      </c>
      <c r="P102" s="5" t="s">
        <v>322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f t="shared" ref="AC102:AC105" si="41">AVERAGE(Q102:AB102)</f>
        <v>1</v>
      </c>
    </row>
    <row r="103" spans="1:29" x14ac:dyDescent="0.25">
      <c r="A103" s="5" t="s">
        <v>43</v>
      </c>
      <c r="B103" s="8">
        <f t="shared" ref="B103:N103" si="42">B102/B101</f>
        <v>1.3333333333333333</v>
      </c>
      <c r="C103" s="8">
        <f t="shared" si="42"/>
        <v>1.3333333333333333</v>
      </c>
      <c r="D103" s="8">
        <f t="shared" si="42"/>
        <v>1.3333333333333333</v>
      </c>
      <c r="E103" s="8">
        <f t="shared" si="42"/>
        <v>1.3333333333333333</v>
      </c>
      <c r="F103" s="8">
        <f t="shared" si="42"/>
        <v>1.3333333333333333</v>
      </c>
      <c r="G103" s="8">
        <f t="shared" si="42"/>
        <v>1.3333333333333333</v>
      </c>
      <c r="H103" s="8">
        <f t="shared" si="42"/>
        <v>1.3333333333333333</v>
      </c>
      <c r="I103" s="8">
        <f t="shared" si="42"/>
        <v>1.3333333333333333</v>
      </c>
      <c r="J103" s="8">
        <f t="shared" si="42"/>
        <v>1.3333333333333333</v>
      </c>
      <c r="K103" s="8">
        <f t="shared" si="42"/>
        <v>1.3333333333333333</v>
      </c>
      <c r="L103" s="8">
        <f t="shared" si="42"/>
        <v>1.3333333333333333</v>
      </c>
      <c r="M103" s="8">
        <f t="shared" si="42"/>
        <v>1.3333333333333333</v>
      </c>
      <c r="N103" s="8">
        <f t="shared" si="42"/>
        <v>1.3333333333333333</v>
      </c>
      <c r="P103" s="5" t="s">
        <v>114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f t="shared" si="41"/>
        <v>1</v>
      </c>
    </row>
    <row r="104" spans="1:29" x14ac:dyDescent="0.25">
      <c r="A104" s="5" t="s">
        <v>44</v>
      </c>
      <c r="B104" s="8">
        <f>B103</f>
        <v>1.3333333333333333</v>
      </c>
      <c r="C104" s="4">
        <f>SUM($B$88:C$88)/SUM($B$87:C$87)</f>
        <v>0</v>
      </c>
      <c r="D104" s="4">
        <f>SUM($B$88:D$88)/SUM($B$87:D$87)</f>
        <v>0</v>
      </c>
      <c r="E104" s="4">
        <f>SUM($B$88:E$88)/SUM($B$87:E$87)</f>
        <v>0</v>
      </c>
      <c r="F104" s="4">
        <f>SUM($B$88:F$88)/SUM($B$87:F$87)</f>
        <v>0</v>
      </c>
      <c r="G104" s="4">
        <f>SUM($B$88:G$88)/SUM($B$87:G$87)</f>
        <v>0</v>
      </c>
      <c r="H104" s="4">
        <f>SUM($B$88:H$88)/SUM($B$87:H$87)</f>
        <v>0</v>
      </c>
      <c r="I104" s="4">
        <f>SUM($B$88:I$88)/SUM($B$87:I$87)</f>
        <v>0</v>
      </c>
      <c r="J104" s="4">
        <f>SUM($B$88:J$88)/SUM($B$87:J$87)</f>
        <v>0</v>
      </c>
      <c r="K104" s="4">
        <f>SUM($B$88:K$88)/SUM($B$87:K$87)</f>
        <v>0</v>
      </c>
      <c r="L104" s="4">
        <f>SUM($B$88:L$88)/SUM($B$87:L$87)</f>
        <v>0</v>
      </c>
      <c r="M104" s="4">
        <f>SUM($B$88:M$88)/SUM($B$87:M$87)</f>
        <v>0</v>
      </c>
      <c r="N104" s="4"/>
      <c r="P104" s="5" t="s">
        <v>323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f t="shared" si="41"/>
        <v>1</v>
      </c>
    </row>
    <row r="105" spans="1:29" x14ac:dyDescent="0.25">
      <c r="A105" s="303"/>
      <c r="B105" s="304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P105" s="5" t="s">
        <v>321</v>
      </c>
      <c r="Q105" s="310">
        <f t="shared" ref="Q105" si="43">AVERAGE(Q101:Q104)</f>
        <v>1</v>
      </c>
      <c r="R105" s="310">
        <f t="shared" ref="R105" si="44">AVERAGE(R101:R104)</f>
        <v>1</v>
      </c>
      <c r="S105" s="310">
        <f t="shared" ref="S105" si="45">AVERAGE(S101:S104)</f>
        <v>1</v>
      </c>
      <c r="T105" s="310">
        <f t="shared" ref="T105" si="46">AVERAGE(T101:T104)</f>
        <v>1</v>
      </c>
      <c r="U105" s="310">
        <f t="shared" ref="U105" si="47">AVERAGE(U101:U104)</f>
        <v>1</v>
      </c>
      <c r="V105" s="310">
        <f t="shared" ref="V105" si="48">AVERAGE(V101:V104)</f>
        <v>1</v>
      </c>
      <c r="W105" s="310">
        <f t="shared" ref="W105" si="49">AVERAGE(W101:W104)</f>
        <v>1</v>
      </c>
      <c r="X105" s="310">
        <f t="shared" ref="X105" si="50">AVERAGE(X101:X104)</f>
        <v>1</v>
      </c>
      <c r="Y105" s="310">
        <f t="shared" ref="Y105" si="51">AVERAGE(Y101:Y104)</f>
        <v>1</v>
      </c>
      <c r="Z105" s="310">
        <f t="shared" ref="Z105" si="52">AVERAGE(Z101:Z104)</f>
        <v>1</v>
      </c>
      <c r="AA105" s="310">
        <f t="shared" ref="AA105" si="53">AVERAGE(AA101:AA104)</f>
        <v>1</v>
      </c>
      <c r="AB105" s="310">
        <f t="shared" ref="AB105" si="54">AVERAGE(AB101:AB104)</f>
        <v>1</v>
      </c>
      <c r="AC105" s="310">
        <f t="shared" si="41"/>
        <v>1</v>
      </c>
    </row>
    <row r="106" spans="1:29" x14ac:dyDescent="0.25">
      <c r="P106" s="303"/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  <c r="AA106" s="314"/>
      <c r="AB106" s="314"/>
      <c r="AC106" s="314"/>
    </row>
    <row r="107" spans="1:29" x14ac:dyDescent="0.25">
      <c r="A107" s="6" t="s">
        <v>331</v>
      </c>
      <c r="B107" s="299" t="s">
        <v>304</v>
      </c>
      <c r="C107" s="299"/>
    </row>
    <row r="108" spans="1:29" x14ac:dyDescent="0.25">
      <c r="A108" s="283" t="s">
        <v>250</v>
      </c>
      <c r="B108" s="285" t="s">
        <v>29</v>
      </c>
      <c r="C108" s="285" t="s">
        <v>30</v>
      </c>
      <c r="D108" s="285" t="s">
        <v>31</v>
      </c>
      <c r="E108" s="285" t="s">
        <v>32</v>
      </c>
      <c r="F108" s="285" t="s">
        <v>33</v>
      </c>
      <c r="G108" s="285" t="s">
        <v>34</v>
      </c>
      <c r="H108" s="285" t="s">
        <v>35</v>
      </c>
      <c r="I108" s="285" t="s">
        <v>36</v>
      </c>
      <c r="J108" s="285" t="s">
        <v>37</v>
      </c>
      <c r="K108" s="285" t="s">
        <v>38</v>
      </c>
      <c r="L108" s="285" t="s">
        <v>39</v>
      </c>
      <c r="M108" s="285" t="s">
        <v>40</v>
      </c>
      <c r="N108" s="285" t="s">
        <v>95</v>
      </c>
      <c r="P108" s="5" t="s">
        <v>237</v>
      </c>
      <c r="Q108" s="5" t="s">
        <v>29</v>
      </c>
      <c r="R108" s="5" t="s">
        <v>30</v>
      </c>
      <c r="S108" s="5" t="s">
        <v>31</v>
      </c>
      <c r="T108" s="5" t="s">
        <v>32</v>
      </c>
      <c r="U108" s="5" t="s">
        <v>33</v>
      </c>
      <c r="V108" s="5" t="s">
        <v>34</v>
      </c>
      <c r="W108" s="5" t="s">
        <v>35</v>
      </c>
      <c r="X108" s="5" t="s">
        <v>36</v>
      </c>
      <c r="Y108" s="5" t="s">
        <v>37</v>
      </c>
      <c r="Z108" s="5" t="s">
        <v>38</v>
      </c>
      <c r="AA108" s="5" t="s">
        <v>39</v>
      </c>
      <c r="AB108" s="5" t="s">
        <v>40</v>
      </c>
      <c r="AC108" s="5" t="s">
        <v>95</v>
      </c>
    </row>
    <row r="109" spans="1:29" x14ac:dyDescent="0.25">
      <c r="A109" s="5" t="s">
        <v>41</v>
      </c>
      <c r="B109" s="298">
        <v>0</v>
      </c>
      <c r="C109" s="298">
        <v>0</v>
      </c>
      <c r="D109" s="298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f>SUM(B109:M109)</f>
        <v>0</v>
      </c>
      <c r="P109" s="5" t="s">
        <v>112</v>
      </c>
      <c r="Q109" s="298">
        <v>0</v>
      </c>
      <c r="R109" s="298">
        <v>0</v>
      </c>
      <c r="S109" s="298">
        <v>0</v>
      </c>
      <c r="T109" s="298">
        <v>0</v>
      </c>
      <c r="U109" s="298">
        <v>0</v>
      </c>
      <c r="V109" s="298">
        <v>0</v>
      </c>
      <c r="W109" s="298">
        <v>0</v>
      </c>
      <c r="X109" s="298">
        <v>0</v>
      </c>
      <c r="Y109" s="298">
        <v>0</v>
      </c>
      <c r="Z109" s="298">
        <v>0</v>
      </c>
      <c r="AA109" s="298">
        <v>0</v>
      </c>
      <c r="AB109" s="298">
        <v>0</v>
      </c>
      <c r="AC109" s="298">
        <f>SUM(Q109:AB109)</f>
        <v>0</v>
      </c>
    </row>
    <row r="110" spans="1:29" x14ac:dyDescent="0.25">
      <c r="A110" s="5" t="s">
        <v>42</v>
      </c>
      <c r="B110" s="298">
        <f>Q113</f>
        <v>0</v>
      </c>
      <c r="C110" s="298">
        <f t="shared" ref="C110:M110" si="55">R113</f>
        <v>0</v>
      </c>
      <c r="D110" s="298">
        <f t="shared" si="55"/>
        <v>0</v>
      </c>
      <c r="E110" s="298">
        <f t="shared" si="55"/>
        <v>0</v>
      </c>
      <c r="F110" s="298">
        <f t="shared" si="55"/>
        <v>0</v>
      </c>
      <c r="G110" s="298">
        <f t="shared" si="55"/>
        <v>0</v>
      </c>
      <c r="H110" s="298">
        <f t="shared" si="55"/>
        <v>0</v>
      </c>
      <c r="I110" s="298">
        <f t="shared" si="55"/>
        <v>0</v>
      </c>
      <c r="J110" s="298">
        <f t="shared" si="55"/>
        <v>0</v>
      </c>
      <c r="K110" s="298">
        <f t="shared" si="55"/>
        <v>0</v>
      </c>
      <c r="L110" s="298">
        <f t="shared" si="55"/>
        <v>0</v>
      </c>
      <c r="M110" s="298">
        <f t="shared" si="55"/>
        <v>0</v>
      </c>
      <c r="N110" s="298">
        <f>SUM(B110:M110)</f>
        <v>0</v>
      </c>
      <c r="P110" s="5" t="s">
        <v>322</v>
      </c>
      <c r="Q110" s="298">
        <v>0</v>
      </c>
      <c r="R110" s="298">
        <v>0</v>
      </c>
      <c r="S110" s="298">
        <v>0</v>
      </c>
      <c r="T110" s="298">
        <v>0</v>
      </c>
      <c r="U110" s="298">
        <v>0</v>
      </c>
      <c r="V110" s="298">
        <v>0</v>
      </c>
      <c r="W110" s="298">
        <v>0</v>
      </c>
      <c r="X110" s="298">
        <v>0</v>
      </c>
      <c r="Y110" s="298">
        <v>0</v>
      </c>
      <c r="Z110" s="298">
        <v>0</v>
      </c>
      <c r="AA110" s="298">
        <v>0</v>
      </c>
      <c r="AB110" s="298">
        <v>0</v>
      </c>
      <c r="AC110" s="298">
        <f t="shared" ref="AC110:AC112" si="56">SUM(Q110:AB110)</f>
        <v>0</v>
      </c>
    </row>
    <row r="111" spans="1:29" x14ac:dyDescent="0.25">
      <c r="A111" s="5" t="s">
        <v>96</v>
      </c>
      <c r="B111" s="298">
        <f>B110</f>
        <v>0</v>
      </c>
      <c r="C111" s="298">
        <f>SUM($B$110:C$110)</f>
        <v>0</v>
      </c>
      <c r="D111" s="298">
        <f>SUM($B$110:D$110)</f>
        <v>0</v>
      </c>
      <c r="E111" s="298">
        <f>SUM($B$110:E$110)</f>
        <v>0</v>
      </c>
      <c r="F111" s="298">
        <f>SUM($B$110:F$110)</f>
        <v>0</v>
      </c>
      <c r="G111" s="298">
        <f>SUM($B$110:G$110)</f>
        <v>0</v>
      </c>
      <c r="H111" s="298">
        <f>SUM($B$110:H$110)</f>
        <v>0</v>
      </c>
      <c r="I111" s="298">
        <f>SUM($B$110:I$110)</f>
        <v>0</v>
      </c>
      <c r="J111" s="298">
        <f>SUM($B$110:J$110)</f>
        <v>0</v>
      </c>
      <c r="K111" s="298">
        <f>SUM($B$110:K$110)</f>
        <v>0</v>
      </c>
      <c r="L111" s="298">
        <f>SUM($B$110:L$110)</f>
        <v>0</v>
      </c>
      <c r="M111" s="298">
        <f>SUM($B$110:M$110)</f>
        <v>0</v>
      </c>
      <c r="N111" s="298"/>
      <c r="P111" s="5" t="s">
        <v>114</v>
      </c>
      <c r="Q111" s="298">
        <v>0</v>
      </c>
      <c r="R111" s="298">
        <v>0</v>
      </c>
      <c r="S111" s="298">
        <v>0</v>
      </c>
      <c r="T111" s="298">
        <v>0</v>
      </c>
      <c r="U111" s="298">
        <v>0</v>
      </c>
      <c r="V111" s="298">
        <v>0</v>
      </c>
      <c r="W111" s="298">
        <v>0</v>
      </c>
      <c r="X111" s="298">
        <v>0</v>
      </c>
      <c r="Y111" s="298">
        <v>0</v>
      </c>
      <c r="Z111" s="298">
        <v>0</v>
      </c>
      <c r="AA111" s="298">
        <v>0</v>
      </c>
      <c r="AB111" s="298">
        <v>0</v>
      </c>
      <c r="AC111" s="298">
        <f t="shared" si="56"/>
        <v>0</v>
      </c>
    </row>
    <row r="112" spans="1:29" x14ac:dyDescent="0.25">
      <c r="A112" s="5" t="s">
        <v>43</v>
      </c>
      <c r="B112" s="8">
        <f>IF(B110=0,1,B110/B109)</f>
        <v>1</v>
      </c>
      <c r="C112" s="8">
        <f t="shared" ref="C112:M112" si="57">IF(C110=0,1,C110/C109)</f>
        <v>1</v>
      </c>
      <c r="D112" s="8">
        <f t="shared" si="57"/>
        <v>1</v>
      </c>
      <c r="E112" s="8">
        <f t="shared" si="57"/>
        <v>1</v>
      </c>
      <c r="F112" s="8">
        <f t="shared" si="57"/>
        <v>1</v>
      </c>
      <c r="G112" s="8">
        <f t="shared" si="57"/>
        <v>1</v>
      </c>
      <c r="H112" s="8">
        <f t="shared" si="57"/>
        <v>1</v>
      </c>
      <c r="I112" s="8">
        <f t="shared" si="57"/>
        <v>1</v>
      </c>
      <c r="J112" s="8">
        <f t="shared" si="57"/>
        <v>1</v>
      </c>
      <c r="K112" s="8">
        <f t="shared" si="57"/>
        <v>1</v>
      </c>
      <c r="L112" s="8">
        <f t="shared" si="57"/>
        <v>1</v>
      </c>
      <c r="M112" s="8">
        <f t="shared" si="57"/>
        <v>1</v>
      </c>
      <c r="N112" s="8" t="str">
        <f t="shared" ref="N112" si="58">IF(N110=0,"100%",N110/N109)</f>
        <v>100%</v>
      </c>
      <c r="P112" s="5" t="s">
        <v>323</v>
      </c>
      <c r="Q112" s="298">
        <v>0</v>
      </c>
      <c r="R112" s="298">
        <v>0</v>
      </c>
      <c r="S112" s="298">
        <v>0</v>
      </c>
      <c r="T112" s="298">
        <v>0</v>
      </c>
      <c r="U112" s="298">
        <v>0</v>
      </c>
      <c r="V112" s="298">
        <v>0</v>
      </c>
      <c r="W112" s="298">
        <v>0</v>
      </c>
      <c r="X112" s="298">
        <v>0</v>
      </c>
      <c r="Y112" s="298">
        <v>0</v>
      </c>
      <c r="Z112" s="298">
        <v>0</v>
      </c>
      <c r="AA112" s="298">
        <v>0</v>
      </c>
      <c r="AB112" s="298">
        <v>0</v>
      </c>
      <c r="AC112" s="298">
        <f t="shared" si="56"/>
        <v>0</v>
      </c>
    </row>
    <row r="113" spans="1:29" x14ac:dyDescent="0.25">
      <c r="A113" s="5" t="s">
        <v>44</v>
      </c>
      <c r="B113" s="4">
        <f>B112</f>
        <v>1</v>
      </c>
      <c r="C113" s="4" t="e">
        <f>SUM($B$98:C$98)/COUNT($B$98:C$98)</f>
        <v>#DIV/0!</v>
      </c>
      <c r="D113" s="4" t="e">
        <f>SUM($B$98:D$98)/COUNT($B$98:D$98)</f>
        <v>#DIV/0!</v>
      </c>
      <c r="E113" s="4" t="e">
        <f>SUM($B$98:E$98)/COUNT($B$98:E$98)</f>
        <v>#DIV/0!</v>
      </c>
      <c r="F113" s="4" t="e">
        <f>SUM($B$98:F$98)/COUNT($B$98:F$98)</f>
        <v>#DIV/0!</v>
      </c>
      <c r="G113" s="4" t="e">
        <f>SUM($B$98:G$98)/COUNT($B$98:G$98)</f>
        <v>#DIV/0!</v>
      </c>
      <c r="H113" s="4" t="e">
        <f>SUM($B$98:H$98)/COUNT($B$98:H$98)</f>
        <v>#DIV/0!</v>
      </c>
      <c r="I113" s="4" t="e">
        <f>SUM($B$98:I$98)/COUNT($B$98:I$98)</f>
        <v>#DIV/0!</v>
      </c>
      <c r="J113" s="4" t="e">
        <f>SUM($B$98:J$98)/COUNT($B$98:J$98)</f>
        <v>#DIV/0!</v>
      </c>
      <c r="K113" s="4" t="e">
        <f>SUM($B$98:K$98)/COUNT($B$98:K$98)</f>
        <v>#DIV/0!</v>
      </c>
      <c r="L113" s="4" t="e">
        <f>SUM($B$98:L$98)/COUNT($B$98:L$98)</f>
        <v>#DIV/0!</v>
      </c>
      <c r="M113" s="4" t="e">
        <f>SUM($B$98:M$98)/COUNT($B$98:M$98)</f>
        <v>#DIV/0!</v>
      </c>
      <c r="N113" s="4"/>
      <c r="P113" s="5" t="s">
        <v>321</v>
      </c>
      <c r="Q113" s="311">
        <f>SUM(Q109:Q112)</f>
        <v>0</v>
      </c>
      <c r="R113" s="311">
        <f t="shared" ref="R113:AC113" si="59">SUM(R109:R112)</f>
        <v>0</v>
      </c>
      <c r="S113" s="311">
        <f t="shared" si="59"/>
        <v>0</v>
      </c>
      <c r="T113" s="311">
        <f t="shared" si="59"/>
        <v>0</v>
      </c>
      <c r="U113" s="311">
        <f t="shared" si="59"/>
        <v>0</v>
      </c>
      <c r="V113" s="311">
        <f t="shared" si="59"/>
        <v>0</v>
      </c>
      <c r="W113" s="311">
        <f t="shared" si="59"/>
        <v>0</v>
      </c>
      <c r="X113" s="311">
        <f t="shared" si="59"/>
        <v>0</v>
      </c>
      <c r="Y113" s="311">
        <f t="shared" si="59"/>
        <v>0</v>
      </c>
      <c r="Z113" s="311">
        <f t="shared" si="59"/>
        <v>0</v>
      </c>
      <c r="AA113" s="311">
        <f t="shared" si="59"/>
        <v>0</v>
      </c>
      <c r="AB113" s="311">
        <f t="shared" si="59"/>
        <v>0</v>
      </c>
      <c r="AC113" s="311">
        <f t="shared" si="59"/>
        <v>0</v>
      </c>
    </row>
    <row r="114" spans="1:29" x14ac:dyDescent="0.25">
      <c r="A114" s="303"/>
      <c r="B114" s="305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</row>
    <row r="116" spans="1:29" x14ac:dyDescent="0.25">
      <c r="A116" s="6" t="s">
        <v>218</v>
      </c>
      <c r="B116" s="299" t="s">
        <v>240</v>
      </c>
      <c r="C116" s="299"/>
    </row>
    <row r="117" spans="1:29" s="307" customFormat="1" ht="60" x14ac:dyDescent="0.25">
      <c r="A117" s="283" t="s">
        <v>217</v>
      </c>
      <c r="B117" s="285" t="s">
        <v>29</v>
      </c>
      <c r="C117" s="285" t="s">
        <v>30</v>
      </c>
      <c r="D117" s="285" t="s">
        <v>31</v>
      </c>
      <c r="E117" s="285" t="s">
        <v>32</v>
      </c>
      <c r="F117" s="285" t="s">
        <v>33</v>
      </c>
      <c r="G117" s="285" t="s">
        <v>34</v>
      </c>
      <c r="H117" s="285" t="s">
        <v>35</v>
      </c>
      <c r="I117" s="285" t="s">
        <v>36</v>
      </c>
      <c r="J117" s="285" t="s">
        <v>37</v>
      </c>
      <c r="K117" s="285" t="s">
        <v>38</v>
      </c>
      <c r="L117" s="285" t="s">
        <v>39</v>
      </c>
      <c r="M117" s="285" t="s">
        <v>40</v>
      </c>
      <c r="N117" s="285" t="s">
        <v>95</v>
      </c>
      <c r="P117" s="284" t="s">
        <v>237</v>
      </c>
      <c r="Q117" s="284" t="s">
        <v>29</v>
      </c>
      <c r="R117" s="284" t="s">
        <v>30</v>
      </c>
      <c r="S117" s="284" t="s">
        <v>31</v>
      </c>
      <c r="T117" s="284" t="s">
        <v>32</v>
      </c>
      <c r="U117" s="284" t="s">
        <v>33</v>
      </c>
      <c r="V117" s="284" t="s">
        <v>34</v>
      </c>
      <c r="W117" s="284" t="s">
        <v>35</v>
      </c>
      <c r="X117" s="284" t="s">
        <v>36</v>
      </c>
      <c r="Y117" s="284" t="s">
        <v>37</v>
      </c>
      <c r="Z117" s="284" t="s">
        <v>38</v>
      </c>
      <c r="AA117" s="284" t="s">
        <v>39</v>
      </c>
      <c r="AB117" s="284" t="s">
        <v>40</v>
      </c>
      <c r="AC117" s="284" t="s">
        <v>95</v>
      </c>
    </row>
    <row r="118" spans="1:29" x14ac:dyDescent="0.25">
      <c r="A118" s="5" t="s">
        <v>41</v>
      </c>
      <c r="B118" s="298">
        <v>0</v>
      </c>
      <c r="C118" s="298">
        <v>0</v>
      </c>
      <c r="D118" s="298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f>SUM(B118:M118)</f>
        <v>0</v>
      </c>
      <c r="P118" s="5" t="s">
        <v>112</v>
      </c>
      <c r="Q118" s="298">
        <v>0</v>
      </c>
      <c r="R118" s="298">
        <v>0</v>
      </c>
      <c r="S118" s="298">
        <v>0</v>
      </c>
      <c r="T118" s="298">
        <v>0</v>
      </c>
      <c r="U118" s="298">
        <v>0</v>
      </c>
      <c r="V118" s="298">
        <v>0</v>
      </c>
      <c r="W118" s="298">
        <v>0</v>
      </c>
      <c r="X118" s="298">
        <v>0</v>
      </c>
      <c r="Y118" s="298">
        <v>0</v>
      </c>
      <c r="Z118" s="298">
        <v>0</v>
      </c>
      <c r="AA118" s="298">
        <v>0</v>
      </c>
      <c r="AB118" s="298">
        <v>0</v>
      </c>
      <c r="AC118" s="298">
        <f>SUM(Q118:AB118)</f>
        <v>0</v>
      </c>
    </row>
    <row r="119" spans="1:29" x14ac:dyDescent="0.25">
      <c r="A119" s="5" t="s">
        <v>42</v>
      </c>
      <c r="B119" s="298">
        <f>Q122</f>
        <v>0</v>
      </c>
      <c r="C119" s="298">
        <f t="shared" ref="C119:M119" si="60">R122</f>
        <v>0</v>
      </c>
      <c r="D119" s="298">
        <f t="shared" si="60"/>
        <v>0</v>
      </c>
      <c r="E119" s="298">
        <f t="shared" si="60"/>
        <v>0</v>
      </c>
      <c r="F119" s="298">
        <f t="shared" si="60"/>
        <v>0</v>
      </c>
      <c r="G119" s="298">
        <f t="shared" si="60"/>
        <v>0</v>
      </c>
      <c r="H119" s="298">
        <f t="shared" si="60"/>
        <v>0</v>
      </c>
      <c r="I119" s="298">
        <f t="shared" si="60"/>
        <v>0</v>
      </c>
      <c r="J119" s="298">
        <f t="shared" si="60"/>
        <v>0</v>
      </c>
      <c r="K119" s="298">
        <f t="shared" si="60"/>
        <v>0</v>
      </c>
      <c r="L119" s="298">
        <f t="shared" si="60"/>
        <v>0</v>
      </c>
      <c r="M119" s="298">
        <f t="shared" si="60"/>
        <v>0</v>
      </c>
      <c r="N119" s="298">
        <f>SUM(B119:M119)</f>
        <v>0</v>
      </c>
      <c r="P119" s="5" t="s">
        <v>322</v>
      </c>
      <c r="Q119" s="298">
        <v>0</v>
      </c>
      <c r="R119" s="298">
        <v>0</v>
      </c>
      <c r="S119" s="298">
        <v>0</v>
      </c>
      <c r="T119" s="298">
        <v>0</v>
      </c>
      <c r="U119" s="298">
        <v>0</v>
      </c>
      <c r="V119" s="298">
        <v>0</v>
      </c>
      <c r="W119" s="298">
        <v>0</v>
      </c>
      <c r="X119" s="298">
        <v>0</v>
      </c>
      <c r="Y119" s="298">
        <v>0</v>
      </c>
      <c r="Z119" s="298">
        <v>0</v>
      </c>
      <c r="AA119" s="298">
        <v>0</v>
      </c>
      <c r="AB119" s="298">
        <v>0</v>
      </c>
      <c r="AC119" s="298">
        <f t="shared" ref="AC119:AC121" si="61">SUM(Q119:AB119)</f>
        <v>0</v>
      </c>
    </row>
    <row r="120" spans="1:29" x14ac:dyDescent="0.25">
      <c r="A120" s="5" t="s">
        <v>96</v>
      </c>
      <c r="B120" s="298">
        <f>B119</f>
        <v>0</v>
      </c>
      <c r="C120" s="298">
        <f>SUM($B$119:C$119)</f>
        <v>0</v>
      </c>
      <c r="D120" s="298">
        <f>SUM($B$119:D$119)</f>
        <v>0</v>
      </c>
      <c r="E120" s="298">
        <f>SUM($B$119:E$119)</f>
        <v>0</v>
      </c>
      <c r="F120" s="298">
        <f>SUM($B$119:F$119)</f>
        <v>0</v>
      </c>
      <c r="G120" s="298">
        <f>SUM($B$119:G$119)</f>
        <v>0</v>
      </c>
      <c r="H120" s="298">
        <f>SUM($B$119:H$119)</f>
        <v>0</v>
      </c>
      <c r="I120" s="298">
        <f>SUM($B$119:I$119)</f>
        <v>0</v>
      </c>
      <c r="J120" s="298">
        <f>SUM($B$119:J$119)</f>
        <v>0</v>
      </c>
      <c r="K120" s="298">
        <f>SUM($B$119:K$119)</f>
        <v>0</v>
      </c>
      <c r="L120" s="298">
        <f>SUM($B$119:L$119)</f>
        <v>0</v>
      </c>
      <c r="M120" s="298">
        <f>SUM($B$119:M$119)</f>
        <v>0</v>
      </c>
      <c r="N120" s="298"/>
      <c r="P120" s="5" t="s">
        <v>114</v>
      </c>
      <c r="Q120" s="298">
        <v>0</v>
      </c>
      <c r="R120" s="298">
        <v>0</v>
      </c>
      <c r="S120" s="298">
        <v>0</v>
      </c>
      <c r="T120" s="298">
        <v>0</v>
      </c>
      <c r="U120" s="298">
        <v>0</v>
      </c>
      <c r="V120" s="298">
        <v>0</v>
      </c>
      <c r="W120" s="298">
        <v>0</v>
      </c>
      <c r="X120" s="298">
        <v>0</v>
      </c>
      <c r="Y120" s="298">
        <v>0</v>
      </c>
      <c r="Z120" s="298">
        <v>0</v>
      </c>
      <c r="AA120" s="298">
        <v>0</v>
      </c>
      <c r="AB120" s="298">
        <v>0</v>
      </c>
      <c r="AC120" s="298">
        <f t="shared" si="61"/>
        <v>0</v>
      </c>
    </row>
    <row r="121" spans="1:29" x14ac:dyDescent="0.25">
      <c r="A121" s="5" t="s">
        <v>43</v>
      </c>
      <c r="B121" s="8">
        <f>IF(B119=0,1,B119/B118)</f>
        <v>1</v>
      </c>
      <c r="C121" s="8">
        <f t="shared" ref="C121:M121" si="62">IF(C119=0,1,C119/C118)</f>
        <v>1</v>
      </c>
      <c r="D121" s="8">
        <f t="shared" si="62"/>
        <v>1</v>
      </c>
      <c r="E121" s="8">
        <f t="shared" si="62"/>
        <v>1</v>
      </c>
      <c r="F121" s="8">
        <f t="shared" si="62"/>
        <v>1</v>
      </c>
      <c r="G121" s="8">
        <f t="shared" si="62"/>
        <v>1</v>
      </c>
      <c r="H121" s="8">
        <f t="shared" si="62"/>
        <v>1</v>
      </c>
      <c r="I121" s="8">
        <f t="shared" si="62"/>
        <v>1</v>
      </c>
      <c r="J121" s="8">
        <f t="shared" si="62"/>
        <v>1</v>
      </c>
      <c r="K121" s="8">
        <f t="shared" si="62"/>
        <v>1</v>
      </c>
      <c r="L121" s="8">
        <f t="shared" si="62"/>
        <v>1</v>
      </c>
      <c r="M121" s="8">
        <f t="shared" si="62"/>
        <v>1</v>
      </c>
      <c r="N121" s="8" t="str">
        <f t="shared" ref="N121" si="63">IF(N119=0,"100%",N119/N118)</f>
        <v>100%</v>
      </c>
      <c r="P121" s="5" t="s">
        <v>323</v>
      </c>
      <c r="Q121" s="298">
        <v>0</v>
      </c>
      <c r="R121" s="298">
        <v>0</v>
      </c>
      <c r="S121" s="298">
        <v>0</v>
      </c>
      <c r="T121" s="298">
        <v>0</v>
      </c>
      <c r="U121" s="298">
        <v>0</v>
      </c>
      <c r="V121" s="298">
        <v>0</v>
      </c>
      <c r="W121" s="298">
        <v>0</v>
      </c>
      <c r="X121" s="298">
        <v>0</v>
      </c>
      <c r="Y121" s="298">
        <v>0</v>
      </c>
      <c r="Z121" s="298">
        <v>0</v>
      </c>
      <c r="AA121" s="298">
        <v>0</v>
      </c>
      <c r="AB121" s="298">
        <v>0</v>
      </c>
      <c r="AC121" s="298">
        <f t="shared" si="61"/>
        <v>0</v>
      </c>
    </row>
    <row r="122" spans="1:29" x14ac:dyDescent="0.25">
      <c r="A122" s="5" t="s">
        <v>44</v>
      </c>
      <c r="B122" s="4">
        <f>B121</f>
        <v>1</v>
      </c>
      <c r="C122" s="4" t="e">
        <f>SUM($B$98:C$98)/COUNT($B$98:C$98)</f>
        <v>#DIV/0!</v>
      </c>
      <c r="D122" s="4" t="e">
        <f>SUM($B$98:D$98)/COUNT($B$98:D$98)</f>
        <v>#DIV/0!</v>
      </c>
      <c r="E122" s="4" t="e">
        <f>SUM($B$98:E$98)/COUNT($B$98:E$98)</f>
        <v>#DIV/0!</v>
      </c>
      <c r="F122" s="4" t="e">
        <f>SUM($B$98:F$98)/COUNT($B$98:F$98)</f>
        <v>#DIV/0!</v>
      </c>
      <c r="G122" s="4" t="e">
        <f>SUM($B$98:G$98)/COUNT($B$98:G$98)</f>
        <v>#DIV/0!</v>
      </c>
      <c r="H122" s="4" t="e">
        <f>SUM($B$98:H$98)/COUNT($B$98:H$98)</f>
        <v>#DIV/0!</v>
      </c>
      <c r="I122" s="4" t="e">
        <f>SUM($B$98:I$98)/COUNT($B$98:I$98)</f>
        <v>#DIV/0!</v>
      </c>
      <c r="J122" s="4" t="e">
        <f>SUM($B$98:J$98)/COUNT($B$98:J$98)</f>
        <v>#DIV/0!</v>
      </c>
      <c r="K122" s="4" t="e">
        <f>SUM($B$98:K$98)/COUNT($B$98:K$98)</f>
        <v>#DIV/0!</v>
      </c>
      <c r="L122" s="4" t="e">
        <f>SUM($B$98:L$98)/COUNT($B$98:L$98)</f>
        <v>#DIV/0!</v>
      </c>
      <c r="M122" s="4" t="e">
        <f>SUM($B$98:M$98)/COUNT($B$98:M$98)</f>
        <v>#DIV/0!</v>
      </c>
      <c r="N122" s="4"/>
      <c r="P122" s="5" t="s">
        <v>321</v>
      </c>
      <c r="Q122" s="311">
        <f>SUM(Q118:Q121)</f>
        <v>0</v>
      </c>
      <c r="R122" s="311">
        <f t="shared" ref="R122:AC122" si="64">SUM(R118:R121)</f>
        <v>0</v>
      </c>
      <c r="S122" s="311">
        <f t="shared" si="64"/>
        <v>0</v>
      </c>
      <c r="T122" s="311">
        <f t="shared" si="64"/>
        <v>0</v>
      </c>
      <c r="U122" s="311">
        <f t="shared" si="64"/>
        <v>0</v>
      </c>
      <c r="V122" s="311">
        <f t="shared" si="64"/>
        <v>0</v>
      </c>
      <c r="W122" s="311">
        <f t="shared" si="64"/>
        <v>0</v>
      </c>
      <c r="X122" s="311">
        <f t="shared" si="64"/>
        <v>0</v>
      </c>
      <c r="Y122" s="311">
        <f t="shared" si="64"/>
        <v>0</v>
      </c>
      <c r="Z122" s="311">
        <f t="shared" si="64"/>
        <v>0</v>
      </c>
      <c r="AA122" s="311">
        <f t="shared" si="64"/>
        <v>0</v>
      </c>
      <c r="AB122" s="311">
        <f t="shared" si="64"/>
        <v>0</v>
      </c>
      <c r="AC122" s="311">
        <f t="shared" si="64"/>
        <v>0</v>
      </c>
    </row>
  </sheetData>
  <conditionalFormatting sqref="B112:M113">
    <cfRule type="cellIs" dxfId="132" priority="1" operator="equal">
      <formula>1</formula>
    </cfRule>
    <cfRule type="cellIs" dxfId="131" priority="2" operator="lessThan">
      <formula>1</formula>
    </cfRule>
    <cfRule type="cellIs" dxfId="130" priority="3" operator="greaterThan">
      <formula>1</formula>
    </cfRule>
  </conditionalFormatting>
  <conditionalFormatting sqref="B121:M122">
    <cfRule type="cellIs" dxfId="129" priority="10" operator="equal">
      <formula>1</formula>
    </cfRule>
    <cfRule type="cellIs" dxfId="128" priority="11" operator="lessThan">
      <formula>1</formula>
    </cfRule>
    <cfRule type="cellIs" dxfId="127" priority="12" operator="greaterThan">
      <formula>1</formula>
    </cfRule>
  </conditionalFormatting>
  <conditionalFormatting sqref="B6:N7">
    <cfRule type="cellIs" dxfId="126" priority="62" operator="lessThan">
      <formula>1</formula>
    </cfRule>
    <cfRule type="cellIs" dxfId="125" priority="61" operator="equal">
      <formula>1</formula>
    </cfRule>
    <cfRule type="cellIs" dxfId="124" priority="63" operator="greaterThan">
      <formula>1</formula>
    </cfRule>
  </conditionalFormatting>
  <conditionalFormatting sqref="B15:N16">
    <cfRule type="cellIs" dxfId="123" priority="31" operator="equal">
      <formula>1</formula>
    </cfRule>
    <cfRule type="cellIs" dxfId="122" priority="33" operator="greaterThan">
      <formula>1</formula>
    </cfRule>
    <cfRule type="cellIs" dxfId="121" priority="32" operator="lessThan">
      <formula>1</formula>
    </cfRule>
  </conditionalFormatting>
  <conditionalFormatting sqref="B24:N25">
    <cfRule type="cellIs" dxfId="120" priority="60" operator="greaterThan">
      <formula>1</formula>
    </cfRule>
    <cfRule type="cellIs" dxfId="119" priority="59" operator="lessThan">
      <formula>1</formula>
    </cfRule>
    <cfRule type="cellIs" dxfId="118" priority="58" operator="equal">
      <formula>1</formula>
    </cfRule>
  </conditionalFormatting>
  <conditionalFormatting sqref="B33:N34">
    <cfRule type="cellIs" dxfId="117" priority="57" operator="greaterThan">
      <formula>1</formula>
    </cfRule>
    <cfRule type="cellIs" dxfId="116" priority="55" operator="equal">
      <formula>1</formula>
    </cfRule>
    <cfRule type="cellIs" dxfId="115" priority="56" operator="lessThan">
      <formula>1</formula>
    </cfRule>
  </conditionalFormatting>
  <conditionalFormatting sqref="B41:N42">
    <cfRule type="cellIs" dxfId="114" priority="52" operator="equal">
      <formula>1</formula>
    </cfRule>
    <cfRule type="cellIs" dxfId="113" priority="53" operator="lessThan">
      <formula>1</formula>
    </cfRule>
    <cfRule type="cellIs" dxfId="112" priority="54" operator="greaterThan">
      <formula>1</formula>
    </cfRule>
  </conditionalFormatting>
  <conditionalFormatting sqref="B49:N50">
    <cfRule type="cellIs" dxfId="111" priority="49" operator="equal">
      <formula>1</formula>
    </cfRule>
    <cfRule type="cellIs" dxfId="110" priority="50" operator="lessThan">
      <formula>1</formula>
    </cfRule>
    <cfRule type="cellIs" dxfId="109" priority="51" operator="greaterThan">
      <formula>1</formula>
    </cfRule>
  </conditionalFormatting>
  <conditionalFormatting sqref="B58:N58">
    <cfRule type="cellIs" dxfId="108" priority="47" operator="lessThan">
      <formula>1</formula>
    </cfRule>
    <cfRule type="cellIs" dxfId="107" priority="48" operator="greaterThan">
      <formula>1</formula>
    </cfRule>
    <cfRule type="cellIs" dxfId="106" priority="46" operator="equal">
      <formula>1</formula>
    </cfRule>
  </conditionalFormatting>
  <conditionalFormatting sqref="B66:N67">
    <cfRule type="cellIs" dxfId="105" priority="43" operator="equal">
      <formula>1</formula>
    </cfRule>
    <cfRule type="cellIs" dxfId="104" priority="44" operator="lessThan">
      <formula>1</formula>
    </cfRule>
    <cfRule type="cellIs" dxfId="103" priority="45" operator="greaterThan">
      <formula>1</formula>
    </cfRule>
  </conditionalFormatting>
  <conditionalFormatting sqref="B74:N74 B75:M75">
    <cfRule type="cellIs" dxfId="102" priority="28" operator="equal">
      <formula>1</formula>
    </cfRule>
    <cfRule type="cellIs" dxfId="101" priority="30" operator="greaterThan">
      <formula>1</formula>
    </cfRule>
    <cfRule type="cellIs" dxfId="100" priority="29" operator="lessThan">
      <formula>1</formula>
    </cfRule>
  </conditionalFormatting>
  <conditionalFormatting sqref="B83:N83 B84:M84">
    <cfRule type="cellIs" dxfId="99" priority="25" operator="equal">
      <formula>1</formula>
    </cfRule>
    <cfRule type="cellIs" dxfId="98" priority="27" operator="greaterThan">
      <formula>1</formula>
    </cfRule>
    <cfRule type="cellIs" dxfId="97" priority="26" operator="lessThan">
      <formula>1</formula>
    </cfRule>
  </conditionalFormatting>
  <conditionalFormatting sqref="B94:N94 B95:M95">
    <cfRule type="cellIs" dxfId="96" priority="24" operator="greaterThan">
      <formula>1</formula>
    </cfRule>
    <cfRule type="cellIs" dxfId="95" priority="23" operator="lessThan">
      <formula>1</formula>
    </cfRule>
    <cfRule type="cellIs" dxfId="94" priority="22" operator="equal">
      <formula>1</formula>
    </cfRule>
  </conditionalFormatting>
  <conditionalFormatting sqref="B103:N103 B104:M104">
    <cfRule type="cellIs" dxfId="93" priority="19" operator="equal">
      <formula>1</formula>
    </cfRule>
    <cfRule type="cellIs" dxfId="92" priority="20" operator="lessThan">
      <formula>1</formula>
    </cfRule>
    <cfRule type="cellIs" dxfId="91" priority="21" operator="greaterThan">
      <formula>1</formula>
    </cfRule>
  </conditionalFormatting>
  <conditionalFormatting sqref="N112">
    <cfRule type="cellIs" dxfId="90" priority="7" operator="equal">
      <formula>1</formula>
    </cfRule>
    <cfRule type="cellIs" dxfId="89" priority="8" operator="lessThan">
      <formula>1</formula>
    </cfRule>
    <cfRule type="cellIs" dxfId="88" priority="9" operator="greaterThan">
      <formula>1</formula>
    </cfRule>
  </conditionalFormatting>
  <conditionalFormatting sqref="N121">
    <cfRule type="cellIs" dxfId="87" priority="16" operator="equal">
      <formula>1</formula>
    </cfRule>
    <cfRule type="cellIs" dxfId="86" priority="17" operator="lessThan">
      <formula>1</formula>
    </cfRule>
    <cfRule type="cellIs" dxfId="85" priority="18" operator="greaterThan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Dashboard</vt:lpstr>
      <vt:lpstr>BSC Corporate</vt:lpstr>
      <vt:lpstr>Database Corp.</vt:lpstr>
      <vt:lpstr>BSC Dir Adm</vt:lpstr>
      <vt:lpstr>DB Dir Adm</vt:lpstr>
      <vt:lpstr>BSC Dir Produksi</vt:lpstr>
      <vt:lpstr>DB Dir Prod</vt:lpstr>
      <vt:lpstr>BSC Dir SLS &amp; MKT</vt:lpstr>
      <vt:lpstr>DB SLS &amp; MKT</vt:lpstr>
      <vt:lpstr>BSC Dir BusDev</vt:lpstr>
      <vt:lpstr>DB BusDev</vt:lpstr>
      <vt:lpstr>BSC Corporate1</vt:lpstr>
      <vt:lpstr>'BSC Corporate'!Print_Area</vt:lpstr>
      <vt:lpstr>'BSC Dir Adm'!Print_Area</vt:lpstr>
      <vt:lpstr>'BSC Dir BusDev'!Print_Area</vt:lpstr>
      <vt:lpstr>'BSC Dir Produksi'!Print_Area</vt:lpstr>
      <vt:lpstr>'BSC Dir SLS &amp; MKT'!Print_Area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2024-07-18T02:58:59Z</dcterms:modified>
</cp:coreProperties>
</file>