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/>
  <c r="P11"/>
  <c r="P9" l="1"/>
  <c r="P5"/>
  <c r="P6"/>
  <c r="P7"/>
  <c r="P8"/>
  <c r="P10"/>
  <c r="BM22" l="1"/>
  <c r="BM21"/>
  <c r="BM20"/>
  <c r="BM19"/>
  <c r="BM18"/>
  <c r="BM17"/>
  <c r="BM16"/>
  <c r="BN16"/>
  <c r="BO16"/>
  <c r="BN17"/>
  <c r="BO17"/>
  <c r="BN18"/>
  <c r="BO18"/>
  <c r="BN19"/>
  <c r="BO19"/>
  <c r="BN20"/>
  <c r="BO20"/>
  <c r="BN21"/>
  <c r="BO21"/>
  <c r="BN22"/>
  <c r="BO22"/>
  <c r="BK17"/>
  <c r="BL17"/>
  <c r="BK18"/>
  <c r="BL18"/>
  <c r="BK19"/>
  <c r="BL19"/>
  <c r="BK20"/>
  <c r="BL20"/>
  <c r="BK21"/>
  <c r="BL21"/>
  <c r="BK22"/>
  <c r="BL22"/>
  <c r="BL16"/>
  <c r="BK16"/>
  <c r="J34"/>
  <c r="J35"/>
  <c r="J37"/>
  <c r="J40"/>
  <c r="J41"/>
  <c r="J42"/>
  <c r="J43"/>
  <c r="J45"/>
  <c r="J47"/>
  <c r="J48"/>
  <c r="J49"/>
  <c r="J51"/>
  <c r="J52"/>
  <c r="I54"/>
  <c r="J54" s="1"/>
  <c r="I53"/>
  <c r="J53" s="1"/>
  <c r="I52"/>
  <c r="I50"/>
  <c r="J50" s="1"/>
  <c r="I49"/>
  <c r="I46"/>
  <c r="J46" s="1"/>
  <c r="I45"/>
  <c r="I44"/>
  <c r="J44" s="1"/>
  <c r="I41"/>
  <c r="I39"/>
  <c r="J39" s="1"/>
  <c r="I38"/>
  <c r="J38" s="1"/>
  <c r="I37"/>
  <c r="I36"/>
  <c r="J36" s="1"/>
  <c r="I33"/>
  <c r="J33" s="1"/>
  <c r="F34"/>
  <c r="F37"/>
  <c r="F38"/>
  <c r="F39"/>
  <c r="F41"/>
  <c r="F43"/>
  <c r="F44"/>
  <c r="F45"/>
  <c r="F46"/>
  <c r="F47"/>
  <c r="F48"/>
  <c r="F51"/>
  <c r="E50"/>
  <c r="F50" s="1"/>
  <c r="E49"/>
  <c r="F49" s="1"/>
  <c r="E44"/>
  <c r="E42"/>
  <c r="F42" s="1"/>
  <c r="E41"/>
  <c r="E40"/>
  <c r="F40" s="1"/>
  <c r="E39"/>
  <c r="E37"/>
  <c r="E36"/>
  <c r="F36" s="1"/>
  <c r="E35"/>
  <c r="F35" s="1"/>
  <c r="E33"/>
  <c r="F33" s="1"/>
  <c r="BH21"/>
  <c r="BH20"/>
  <c r="BH18"/>
  <c r="BH17"/>
  <c r="BH16"/>
  <c r="BC21"/>
  <c r="BC20"/>
  <c r="BC18"/>
  <c r="BC17"/>
  <c r="BC16"/>
  <c r="AX21"/>
  <c r="AX20"/>
  <c r="AX19"/>
  <c r="AX18"/>
  <c r="AX17"/>
  <c r="AX16"/>
  <c r="AS22"/>
  <c r="AS21"/>
  <c r="AS20"/>
  <c r="AS18"/>
  <c r="AS17"/>
  <c r="AS16"/>
  <c r="AN21"/>
  <c r="AN20"/>
  <c r="AN18"/>
  <c r="AN17"/>
  <c r="AN16"/>
  <c r="AI21"/>
  <c r="AI20"/>
  <c r="AI18"/>
  <c r="AI17"/>
  <c r="AI16"/>
  <c r="AD22"/>
  <c r="AD21"/>
  <c r="AD20"/>
  <c r="AD19"/>
  <c r="AD18"/>
  <c r="AD17"/>
  <c r="AD16"/>
  <c r="Y22"/>
  <c r="Y21"/>
  <c r="Y20"/>
  <c r="Y19"/>
  <c r="Y18"/>
  <c r="Y17"/>
  <c r="Y16"/>
  <c r="T22"/>
  <c r="T21"/>
  <c r="T20"/>
  <c r="T19"/>
  <c r="T18"/>
  <c r="T17"/>
  <c r="T16"/>
  <c r="O22"/>
  <c r="O21"/>
  <c r="O20"/>
  <c r="O19"/>
  <c r="O18"/>
  <c r="O17"/>
  <c r="O16"/>
  <c r="J22"/>
  <c r="J21"/>
  <c r="J20"/>
  <c r="J19"/>
  <c r="J18"/>
  <c r="J17"/>
  <c r="J16"/>
  <c r="E16"/>
  <c r="BI19"/>
  <c r="BJ19"/>
  <c r="BJ22"/>
  <c r="BG19"/>
  <c r="BH19" s="1"/>
  <c r="BG22"/>
  <c r="BH22" s="1"/>
  <c r="BF19"/>
  <c r="BF22"/>
  <c r="BE19"/>
  <c r="BD19"/>
  <c r="BE22"/>
  <c r="BB22"/>
  <c r="BC22" s="1"/>
  <c r="BB19"/>
  <c r="BC19" s="1"/>
  <c r="BA22"/>
  <c r="BA19"/>
  <c r="AZ19"/>
  <c r="AZ22"/>
  <c r="AZ26" s="1"/>
  <c r="AW19"/>
  <c r="AW22"/>
  <c r="AX22" s="1"/>
  <c r="AV19"/>
  <c r="AV22"/>
  <c r="AU22"/>
  <c r="AR22"/>
  <c r="AU19"/>
  <c r="AR19"/>
  <c r="AS19" s="1"/>
  <c r="AQ22"/>
  <c r="AQ19"/>
  <c r="J55" l="1"/>
  <c r="F52"/>
  <c r="AP22"/>
  <c r="AP19"/>
  <c r="AM19"/>
  <c r="AL22"/>
  <c r="AM22"/>
  <c r="AN22" s="1"/>
  <c r="AL19"/>
  <c r="AH19"/>
  <c r="AI19" s="1"/>
  <c r="AH22"/>
  <c r="AI22" s="1"/>
  <c r="AJ19"/>
  <c r="AK19"/>
  <c r="AK22"/>
  <c r="E17"/>
  <c r="E18"/>
  <c r="E19"/>
  <c r="E20"/>
  <c r="E21"/>
  <c r="E22"/>
  <c r="G19"/>
  <c r="G18"/>
  <c r="G16"/>
  <c r="F19"/>
  <c r="F18"/>
  <c r="F16"/>
  <c r="O8"/>
  <c r="O7"/>
  <c r="O6"/>
  <c r="O5"/>
  <c r="AN19" l="1"/>
</calcChain>
</file>

<file path=xl/sharedStrings.xml><?xml version="1.0" encoding="utf-8"?>
<sst xmlns="http://schemas.openxmlformats.org/spreadsheetml/2006/main" count="121" uniqueCount="41">
  <si>
    <t>QTY</t>
  </si>
  <si>
    <t>JULI</t>
  </si>
  <si>
    <t>AGUSTUS</t>
  </si>
  <si>
    <t>SEPTEMBER</t>
  </si>
  <si>
    <t>OKTOBER</t>
  </si>
  <si>
    <t>NOVEMBER</t>
  </si>
  <si>
    <t>DESEMBER</t>
  </si>
  <si>
    <t>TOTAL</t>
  </si>
  <si>
    <t>AVG</t>
  </si>
  <si>
    <t>BUDGET</t>
  </si>
  <si>
    <t>APS</t>
  </si>
  <si>
    <t>HASIL</t>
  </si>
  <si>
    <t>LEMBUR</t>
  </si>
  <si>
    <t>REJECT</t>
  </si>
  <si>
    <t>ABSEN</t>
  </si>
  <si>
    <t>BIAYA KIMIA</t>
  </si>
  <si>
    <t>JANUARI</t>
  </si>
  <si>
    <t>FEBRUARI</t>
  </si>
  <si>
    <t>MARET</t>
  </si>
  <si>
    <t>APRIL</t>
  </si>
  <si>
    <t>MEI</t>
  </si>
  <si>
    <t>JUNI</t>
  </si>
  <si>
    <t>TIPE</t>
  </si>
  <si>
    <t>CHROME</t>
  </si>
  <si>
    <t>CAT</t>
  </si>
  <si>
    <t>LIPAT</t>
  </si>
  <si>
    <t>LIPAT MEMO</t>
  </si>
  <si>
    <t>HBR</t>
  </si>
  <si>
    <t>WM</t>
  </si>
  <si>
    <t xml:space="preserve">SCHOOL </t>
  </si>
  <si>
    <t>NSB</t>
  </si>
  <si>
    <t>PROJEK</t>
  </si>
  <si>
    <t>cs</t>
  </si>
  <si>
    <t>%</t>
  </si>
  <si>
    <t>NOV</t>
  </si>
  <si>
    <t>DES</t>
  </si>
  <si>
    <t>TGL</t>
  </si>
  <si>
    <t>JAM</t>
  </si>
  <si>
    <t>JUM.SDM</t>
  </si>
  <si>
    <t>JUM.JAM</t>
  </si>
  <si>
    <t>KPI TAHUN 2020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</si>
</sst>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  <numFmt numFmtId="166" formatCode="#,##0\ ;&quot; (&quot;#,##0\);\-#\ ;@\ "/>
    <numFmt numFmtId="167" formatCode="* #,##0\ ;* \(#,##0\);* \-#\ ;@\ "/>
    <numFmt numFmtId="168" formatCode="_(* #,##0_);_(* \(#,##0\);_(* \-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1"/>
    </font>
    <font>
      <i/>
      <sz val="11"/>
      <color indexed="23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4"/>
      <name val="Calibri"/>
      <family val="2"/>
    </font>
    <font>
      <b/>
      <sz val="11"/>
      <color rgb="FF000000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name val="Calibri"/>
      <family val="2"/>
    </font>
    <font>
      <b/>
      <sz val="10"/>
      <name val="Arial"/>
      <family val="2"/>
    </font>
    <font>
      <i/>
      <sz val="11"/>
      <color indexed="54"/>
      <name val="Calibri"/>
      <family val="2"/>
    </font>
    <font>
      <sz val="14"/>
      <name val="Calibri"/>
      <family val="2"/>
      <charset val="1"/>
    </font>
    <font>
      <b/>
      <sz val="11"/>
      <name val="Calibri"/>
      <family val="2"/>
      <charset val="1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4" fillId="0" borderId="0" applyBorder="0" applyProtection="0"/>
    <xf numFmtId="0" fontId="1" fillId="0" borderId="0"/>
    <xf numFmtId="0" fontId="4" fillId="0" borderId="0" applyBorder="0" applyProtection="0"/>
    <xf numFmtId="0" fontId="2" fillId="0" borderId="0" applyNumberFormat="0" applyFill="0" applyBorder="0" applyAlignment="0" applyProtection="0"/>
    <xf numFmtId="41" fontId="9" fillId="0" borderId="0" applyFont="0" applyFill="0" applyBorder="0" applyAlignment="0" applyProtection="0"/>
    <xf numFmtId="0" fontId="10" fillId="0" borderId="0" applyBorder="0" applyProtection="0"/>
    <xf numFmtId="0" fontId="11" fillId="0" borderId="0" applyNumberFormat="0" applyFill="0" applyBorder="0" applyAlignment="0" applyProtection="0"/>
    <xf numFmtId="0" fontId="4" fillId="0" borderId="0" applyBorder="0" applyProtection="0"/>
    <xf numFmtId="0" fontId="4" fillId="0" borderId="0" applyBorder="0" applyProtection="0"/>
    <xf numFmtId="0" fontId="2" fillId="0" borderId="0" applyNumberFormat="0" applyFill="0" applyBorder="0" applyAlignment="0" applyProtection="0"/>
    <xf numFmtId="41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9" fillId="0" borderId="0" applyBorder="0" applyProtection="0"/>
    <xf numFmtId="165" fontId="9" fillId="0" borderId="0" applyBorder="0" applyProtection="0"/>
    <xf numFmtId="165" fontId="9" fillId="0" borderId="0" applyBorder="0" applyProtection="0"/>
    <xf numFmtId="165" fontId="9" fillId="0" borderId="0" applyBorder="0" applyProtection="0"/>
    <xf numFmtId="165" fontId="9" fillId="0" borderId="0" applyBorder="0" applyProtection="0"/>
    <xf numFmtId="165" fontId="9" fillId="0" borderId="0" applyBorder="0" applyProtection="0"/>
    <xf numFmtId="165" fontId="9" fillId="0" borderId="0" applyBorder="0" applyProtection="0"/>
    <xf numFmtId="165" fontId="9" fillId="0" borderId="0" applyBorder="0" applyProtection="0"/>
    <xf numFmtId="165" fontId="9" fillId="0" borderId="0" applyBorder="0" applyProtection="0"/>
    <xf numFmtId="165" fontId="9" fillId="0" borderId="0" applyBorder="0" applyProtection="0"/>
    <xf numFmtId="165" fontId="9" fillId="0" borderId="0" applyBorder="0" applyProtection="0"/>
    <xf numFmtId="165" fontId="9" fillId="0" borderId="0" applyBorder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9" fillId="0" borderId="0" applyNumberFormat="0" applyFill="0" applyBorder="0" applyProtection="0"/>
  </cellStyleXfs>
  <cellXfs count="118">
    <xf numFmtId="0" fontId="0" fillId="0" borderId="0" xfId="0"/>
    <xf numFmtId="0" fontId="3" fillId="2" borderId="2" xfId="0" applyFont="1" applyFill="1" applyBorder="1" applyAlignment="1">
      <alignment horizontal="center"/>
    </xf>
    <xf numFmtId="0" fontId="0" fillId="2" borderId="2" xfId="0" applyFill="1" applyBorder="1"/>
    <xf numFmtId="3" fontId="5" fillId="0" borderId="2" xfId="1" applyNumberFormat="1" applyFont="1" applyFill="1" applyBorder="1" applyAlignment="1" applyProtection="1">
      <alignment horizontal="center" vertical="center"/>
    </xf>
    <xf numFmtId="3" fontId="6" fillId="0" borderId="2" xfId="2" applyNumberFormat="1" applyFont="1" applyBorder="1" applyAlignment="1">
      <alignment horizontal="center" vertical="center"/>
    </xf>
    <xf numFmtId="3" fontId="0" fillId="0" borderId="2" xfId="0" applyNumberFormat="1" applyBorder="1"/>
    <xf numFmtId="3" fontId="7" fillId="0" borderId="2" xfId="3" applyNumberFormat="1" applyFont="1" applyFill="1" applyBorder="1" applyAlignment="1" applyProtection="1">
      <alignment horizontal="center" vertical="center"/>
    </xf>
    <xf numFmtId="3" fontId="8" fillId="0" borderId="2" xfId="4" applyNumberFormat="1" applyFont="1" applyFill="1" applyBorder="1" applyAlignment="1" applyProtection="1">
      <alignment horizontal="center" vertical="center"/>
    </xf>
    <xf numFmtId="3" fontId="8" fillId="0" borderId="2" xfId="5" applyNumberFormat="1" applyFont="1" applyFill="1" applyBorder="1" applyAlignment="1" applyProtection="1">
      <alignment horizontal="center" vertical="center"/>
    </xf>
    <xf numFmtId="3" fontId="5" fillId="0" borderId="2" xfId="6" applyNumberFormat="1" applyFont="1" applyFill="1" applyBorder="1" applyAlignment="1" applyProtection="1">
      <alignment horizontal="center" vertical="center"/>
    </xf>
    <xf numFmtId="3" fontId="5" fillId="0" borderId="2" xfId="7" applyNumberFormat="1" applyFont="1" applyFill="1" applyBorder="1" applyAlignment="1" applyProtection="1">
      <alignment horizontal="center" vertical="center"/>
    </xf>
    <xf numFmtId="3" fontId="5" fillId="0" borderId="2" xfId="8" applyNumberFormat="1" applyFont="1" applyFill="1" applyBorder="1" applyAlignment="1" applyProtection="1">
      <alignment horizontal="center" vertical="center"/>
    </xf>
    <xf numFmtId="3" fontId="7" fillId="0" borderId="2" xfId="9" applyNumberFormat="1" applyFont="1" applyFill="1" applyBorder="1" applyAlignment="1" applyProtection="1">
      <alignment horizontal="center" vertical="center"/>
    </xf>
    <xf numFmtId="3" fontId="8" fillId="0" borderId="2" xfId="10" applyNumberFormat="1" applyFont="1" applyFill="1" applyBorder="1" applyAlignment="1" applyProtection="1">
      <alignment horizontal="center" vertical="center"/>
    </xf>
    <xf numFmtId="3" fontId="8" fillId="0" borderId="2" xfId="11" applyNumberFormat="1" applyFont="1" applyFill="1" applyBorder="1" applyAlignment="1" applyProtection="1">
      <alignment horizontal="center" vertical="center"/>
    </xf>
    <xf numFmtId="3" fontId="5" fillId="0" borderId="2" xfId="12" applyNumberFormat="1" applyFont="1" applyFill="1" applyBorder="1" applyAlignment="1" applyProtection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/>
    <xf numFmtId="10" fontId="6" fillId="0" borderId="2" xfId="13" applyNumberFormat="1" applyFont="1" applyFill="1" applyBorder="1" applyAlignment="1">
      <alignment horizontal="center" vertical="center"/>
    </xf>
    <xf numFmtId="10" fontId="6" fillId="0" borderId="2" xfId="14" applyNumberFormat="1" applyFont="1" applyFill="1" applyBorder="1" applyAlignment="1">
      <alignment horizontal="center" vertical="center"/>
    </xf>
    <xf numFmtId="10" fontId="6" fillId="0" borderId="2" xfId="15" applyNumberFormat="1" applyFont="1" applyFill="1" applyBorder="1" applyAlignment="1">
      <alignment horizontal="center" vertical="center"/>
    </xf>
    <xf numFmtId="10" fontId="6" fillId="0" borderId="2" xfId="16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3" fontId="5" fillId="0" borderId="2" xfId="17" applyNumberFormat="1" applyFont="1" applyFill="1" applyBorder="1" applyAlignment="1" applyProtection="1">
      <alignment horizontal="center" vertical="center"/>
    </xf>
    <xf numFmtId="164" fontId="13" fillId="0" borderId="2" xfId="0" applyNumberFormat="1" applyFont="1" applyFill="1" applyBorder="1" applyAlignment="1" applyProtection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/>
    <xf numFmtId="3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9" fillId="0" borderId="2" xfId="21" applyNumberFormat="1" applyFont="1" applyFill="1" applyBorder="1" applyAlignment="1" applyProtection="1">
      <alignment horizontal="center" vertical="center"/>
      <protection locked="0"/>
    </xf>
    <xf numFmtId="3" fontId="9" fillId="0" borderId="2" xfId="23" applyNumberFormat="1" applyFont="1" applyFill="1" applyBorder="1" applyAlignment="1" applyProtection="1">
      <alignment horizontal="center" vertical="center"/>
      <protection locked="0"/>
    </xf>
    <xf numFmtId="3" fontId="9" fillId="0" borderId="2" xfId="25" applyNumberFormat="1" applyFont="1" applyFill="1" applyBorder="1" applyAlignment="1" applyProtection="1">
      <alignment horizontal="center" vertical="center"/>
      <protection locked="0"/>
    </xf>
    <xf numFmtId="3" fontId="9" fillId="0" borderId="2" xfId="27" applyNumberFormat="1" applyFont="1" applyFill="1" applyBorder="1" applyAlignment="1" applyProtection="1">
      <alignment horizontal="center" vertical="center"/>
      <protection locked="0"/>
    </xf>
    <xf numFmtId="3" fontId="9" fillId="0" borderId="2" xfId="29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9" fontId="1" fillId="0" borderId="2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9" fontId="1" fillId="0" borderId="14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0" fontId="0" fillId="2" borderId="7" xfId="0" applyFill="1" applyBorder="1"/>
    <xf numFmtId="3" fontId="9" fillId="0" borderId="11" xfId="18" applyNumberFormat="1" applyFont="1" applyFill="1" applyBorder="1" applyAlignment="1" applyProtection="1">
      <alignment horizontal="center" vertical="center"/>
      <protection locked="0"/>
    </xf>
    <xf numFmtId="3" fontId="1" fillId="0" borderId="12" xfId="0" applyNumberFormat="1" applyFont="1" applyBorder="1" applyAlignment="1">
      <alignment horizontal="center"/>
    </xf>
    <xf numFmtId="3" fontId="9" fillId="0" borderId="11" xfId="20" applyNumberFormat="1" applyFont="1" applyFill="1" applyBorder="1" applyAlignment="1" applyProtection="1">
      <alignment horizontal="center" vertical="center"/>
      <protection locked="0"/>
    </xf>
    <xf numFmtId="3" fontId="9" fillId="0" borderId="11" xfId="22" applyNumberFormat="1" applyFont="1" applyFill="1" applyBorder="1" applyAlignment="1" applyProtection="1">
      <alignment horizontal="center" vertical="center"/>
      <protection locked="0"/>
    </xf>
    <xf numFmtId="3" fontId="9" fillId="0" borderId="11" xfId="24" applyNumberFormat="1" applyFont="1" applyFill="1" applyBorder="1" applyAlignment="1" applyProtection="1">
      <alignment horizontal="center" vertical="center"/>
      <protection locked="0"/>
    </xf>
    <xf numFmtId="3" fontId="9" fillId="0" borderId="11" xfId="26" applyNumberFormat="1" applyFont="1" applyFill="1" applyBorder="1" applyAlignment="1" applyProtection="1">
      <alignment horizontal="center" vertical="center"/>
      <protection locked="0"/>
    </xf>
    <xf numFmtId="3" fontId="9" fillId="0" borderId="11" xfId="28" applyNumberFormat="1" applyFont="1" applyFill="1" applyBorder="1" applyAlignment="1" applyProtection="1">
      <alignment horizontal="center" vertical="center"/>
      <protection locked="0"/>
    </xf>
    <xf numFmtId="3" fontId="9" fillId="0" borderId="13" xfId="28" applyNumberFormat="1" applyFont="1" applyFill="1" applyBorder="1" applyAlignment="1" applyProtection="1">
      <alignment horizontal="center" vertical="center"/>
      <protection locked="0"/>
    </xf>
    <xf numFmtId="3" fontId="9" fillId="0" borderId="14" xfId="29" applyNumberFormat="1" applyFont="1" applyFill="1" applyBorder="1" applyAlignment="1" applyProtection="1">
      <alignment horizontal="center" vertical="center"/>
      <protection locked="0"/>
    </xf>
    <xf numFmtId="3" fontId="1" fillId="0" borderId="14" xfId="0" applyNumberFormat="1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167" fontId="15" fillId="0" borderId="0" xfId="31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/>
    </xf>
    <xf numFmtId="167" fontId="16" fillId="0" borderId="0" xfId="32" applyNumberFormat="1" applyFont="1" applyFill="1" applyBorder="1" applyAlignment="1" applyProtection="1">
      <alignment horizontal="center" vertical="center"/>
      <protection locked="0"/>
    </xf>
    <xf numFmtId="168" fontId="12" fillId="0" borderId="0" xfId="30" applyNumberFormat="1" applyFont="1" applyFill="1" applyBorder="1" applyAlignment="1" applyProtection="1">
      <alignment horizontal="center" vertical="center"/>
    </xf>
    <xf numFmtId="0" fontId="0" fillId="0" borderId="0" xfId="0" applyFill="1" applyBorder="1"/>
    <xf numFmtId="168" fontId="0" fillId="0" borderId="0" xfId="0" applyNumberFormat="1" applyFill="1" applyBorder="1"/>
    <xf numFmtId="166" fontId="18" fillId="0" borderId="0" xfId="33" applyNumberFormat="1" applyFont="1" applyFill="1" applyBorder="1" applyAlignment="1" applyProtection="1">
      <alignment horizontal="center" vertical="center"/>
    </xf>
    <xf numFmtId="166" fontId="17" fillId="0" borderId="0" xfId="2" applyNumberFormat="1" applyFont="1" applyFill="1" applyBorder="1" applyAlignment="1" applyProtection="1">
      <alignment horizontal="center" vertical="center"/>
    </xf>
    <xf numFmtId="166" fontId="0" fillId="0" borderId="0" xfId="0" applyNumberFormat="1"/>
    <xf numFmtId="167" fontId="0" fillId="0" borderId="0" xfId="0" applyNumberFormat="1" applyBorder="1"/>
    <xf numFmtId="0" fontId="0" fillId="0" borderId="0" xfId="0" applyBorder="1"/>
    <xf numFmtId="166" fontId="0" fillId="0" borderId="0" xfId="0" applyNumberFormat="1" applyBorder="1"/>
    <xf numFmtId="166" fontId="17" fillId="0" borderId="0" xfId="2" applyNumberFormat="1" applyFont="1" applyBorder="1" applyAlignment="1" applyProtection="1">
      <alignment horizontal="center" vertical="center"/>
    </xf>
    <xf numFmtId="166" fontId="20" fillId="0" borderId="0" xfId="34" applyNumberFormat="1" applyFont="1" applyBorder="1" applyAlignment="1" applyProtection="1">
      <alignment horizontal="center" vertical="center"/>
    </xf>
    <xf numFmtId="167" fontId="21" fillId="0" borderId="0" xfId="32" applyNumberFormat="1" applyFont="1" applyFill="1" applyBorder="1" applyAlignment="1" applyProtection="1">
      <alignment horizontal="center" vertical="center"/>
      <protection locked="0"/>
    </xf>
    <xf numFmtId="166" fontId="5" fillId="0" borderId="0" xfId="2" applyNumberFormat="1" applyFont="1" applyFill="1" applyBorder="1"/>
    <xf numFmtId="3" fontId="0" fillId="0" borderId="12" xfId="0" applyNumberFormat="1" applyBorder="1"/>
    <xf numFmtId="3" fontId="0" fillId="0" borderId="11" xfId="0" applyNumberFormat="1" applyBorder="1"/>
    <xf numFmtId="3" fontId="0" fillId="0" borderId="7" xfId="0" applyNumberFormat="1" applyBorder="1"/>
    <xf numFmtId="3" fontId="14" fillId="0" borderId="11" xfId="2" applyNumberFormat="1" applyFont="1" applyBorder="1" applyAlignment="1" applyProtection="1">
      <alignment horizontal="center" vertical="center"/>
    </xf>
    <xf numFmtId="3" fontId="14" fillId="0" borderId="2" xfId="2" applyNumberFormat="1" applyFont="1" applyBorder="1" applyAlignment="1" applyProtection="1">
      <alignment horizontal="center" vertical="center"/>
    </xf>
    <xf numFmtId="3" fontId="16" fillId="0" borderId="11" xfId="32" applyNumberFormat="1" applyFont="1" applyFill="1" applyBorder="1" applyAlignment="1" applyProtection="1">
      <alignment vertical="center"/>
      <protection locked="0"/>
    </xf>
    <xf numFmtId="3" fontId="12" fillId="0" borderId="2" xfId="30" applyNumberFormat="1" applyFont="1" applyFill="1" applyBorder="1" applyAlignment="1" applyProtection="1">
      <alignment horizontal="center" vertical="center"/>
    </xf>
    <xf numFmtId="3" fontId="20" fillId="0" borderId="2" xfId="34" applyNumberFormat="1" applyFont="1" applyFill="1" applyBorder="1" applyAlignment="1" applyProtection="1">
      <alignment horizontal="center" vertical="center"/>
    </xf>
    <xf numFmtId="3" fontId="0" fillId="0" borderId="2" xfId="0" applyNumberFormat="1" applyFill="1" applyBorder="1"/>
    <xf numFmtId="3" fontId="0" fillId="0" borderId="7" xfId="0" applyNumberFormat="1" applyFill="1" applyBorder="1"/>
    <xf numFmtId="3" fontId="21" fillId="0" borderId="11" xfId="32" applyNumberFormat="1" applyFont="1" applyFill="1" applyBorder="1" applyAlignment="1" applyProtection="1">
      <alignment vertical="center"/>
      <protection locked="0"/>
    </xf>
    <xf numFmtId="3" fontId="5" fillId="0" borderId="2" xfId="2" applyNumberFormat="1" applyFont="1" applyFill="1" applyBorder="1"/>
    <xf numFmtId="3" fontId="0" fillId="0" borderId="12" xfId="0" applyNumberFormat="1" applyFill="1" applyBorder="1"/>
    <xf numFmtId="3" fontId="15" fillId="0" borderId="11" xfId="31" applyNumberFormat="1" applyFont="1" applyFill="1" applyBorder="1" applyAlignment="1" applyProtection="1">
      <alignment vertical="center"/>
      <protection locked="0"/>
    </xf>
    <xf numFmtId="3" fontId="0" fillId="0" borderId="11" xfId="0" applyNumberFormat="1" applyFill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3" xfId="0" applyNumberFormat="1" applyBorder="1"/>
    <xf numFmtId="3" fontId="0" fillId="0" borderId="18" xfId="0" applyNumberFormat="1" applyBorder="1"/>
    <xf numFmtId="3" fontId="15" fillId="0" borderId="13" xfId="31" applyNumberFormat="1" applyFont="1" applyFill="1" applyBorder="1" applyAlignment="1" applyProtection="1">
      <alignment vertical="center"/>
      <protection locked="0"/>
    </xf>
    <xf numFmtId="3" fontId="14" fillId="0" borderId="14" xfId="2" applyNumberFormat="1" applyFont="1" applyBorder="1" applyAlignment="1" applyProtection="1">
      <alignment horizontal="center" vertical="center"/>
    </xf>
    <xf numFmtId="3" fontId="16" fillId="0" borderId="13" xfId="32" applyNumberFormat="1" applyFont="1" applyFill="1" applyBorder="1" applyAlignment="1" applyProtection="1">
      <alignment vertical="center"/>
      <protection locked="0"/>
    </xf>
    <xf numFmtId="3" fontId="12" fillId="0" borderId="14" xfId="30" applyNumberFormat="1" applyFont="1" applyFill="1" applyBorder="1" applyAlignment="1" applyProtection="1">
      <alignment horizontal="center" vertical="center"/>
    </xf>
    <xf numFmtId="3" fontId="20" fillId="0" borderId="14" xfId="34" applyNumberFormat="1" applyFont="1" applyFill="1" applyBorder="1" applyAlignment="1" applyProtection="1">
      <alignment horizontal="center" vertical="center"/>
    </xf>
    <xf numFmtId="3" fontId="0" fillId="0" borderId="14" xfId="0" applyNumberFormat="1" applyFill="1" applyBorder="1"/>
    <xf numFmtId="3" fontId="0" fillId="0" borderId="18" xfId="0" applyNumberFormat="1" applyFill="1" applyBorder="1"/>
    <xf numFmtId="3" fontId="21" fillId="0" borderId="13" xfId="32" applyNumberFormat="1" applyFont="1" applyFill="1" applyBorder="1" applyAlignment="1" applyProtection="1">
      <alignment vertical="center"/>
      <protection locked="0"/>
    </xf>
    <xf numFmtId="3" fontId="5" fillId="0" borderId="14" xfId="2" applyNumberFormat="1" applyFont="1" applyFill="1" applyBorder="1"/>
    <xf numFmtId="3" fontId="0" fillId="0" borderId="15" xfId="0" applyNumberFormat="1" applyFill="1" applyBorder="1"/>
    <xf numFmtId="10" fontId="0" fillId="0" borderId="2" xfId="0" applyNumberForma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22" fillId="0" borderId="0" xfId="0" applyFont="1"/>
  </cellXfs>
  <cellStyles count="35">
    <cellStyle name="Comma" xfId="30" builtinId="3"/>
    <cellStyle name="Comma [0] 20" xfId="5"/>
    <cellStyle name="Comma [0] 21" xfId="11"/>
    <cellStyle name="Comma 2 2" xfId="33"/>
    <cellStyle name="Comma 2 2 26" xfId="21"/>
    <cellStyle name="Comma 2 2 27" xfId="19"/>
    <cellStyle name="Comma 2 2 28" xfId="23"/>
    <cellStyle name="Comma 2 2 30" xfId="25"/>
    <cellStyle name="Comma 2 2 31" xfId="24"/>
    <cellStyle name="Comma 2 2 32" xfId="27"/>
    <cellStyle name="Comma 2 2 34" xfId="29"/>
    <cellStyle name="Comma 2 2 35" xfId="28"/>
    <cellStyle name="Comma 2 2 36" xfId="18"/>
    <cellStyle name="Comma 2 2 37" xfId="20"/>
    <cellStyle name="Comma 2 2 38" xfId="22"/>
    <cellStyle name="Comma 2 2 39" xfId="26"/>
    <cellStyle name="Excel Built-in Explanatory Text" xfId="34"/>
    <cellStyle name="Excel_BuiltIn_Explanatory Text" xfId="6"/>
    <cellStyle name="Excel_BuiltIn_Explanatory Text 1 2" xfId="32"/>
    <cellStyle name="Excel_BuiltIn_Explanatory Text 3" xfId="7"/>
    <cellStyle name="Excel_BuiltIn_Explanatory Text 4" xfId="12"/>
    <cellStyle name="Explanatory Text" xfId="31" builtinId="53"/>
    <cellStyle name="Explanatory Text 24" xfId="4"/>
    <cellStyle name="Explanatory Text 25" xfId="10"/>
    <cellStyle name="Normal" xfId="0" builtinId="0"/>
    <cellStyle name="Normal 2" xfId="2"/>
    <cellStyle name="Normal 2 27" xfId="1"/>
    <cellStyle name="Normal 2 28" xfId="8"/>
    <cellStyle name="Normal 2 29" xfId="3"/>
    <cellStyle name="Normal 2 30" xfId="9"/>
    <cellStyle name="Normal 47" xfId="13"/>
    <cellStyle name="Normal 48" xfId="14"/>
    <cellStyle name="Normal 49" xfId="15"/>
    <cellStyle name="Normal 50" xfId="16"/>
    <cellStyle name="Normal 51" xfId="17"/>
  </cellStyles>
  <dxfs count="19">
    <dxf>
      <font>
        <b val="0"/>
        <condense val="0"/>
        <extend val="0"/>
        <sz val="11"/>
        <color indexed="8"/>
      </font>
    </dxf>
    <dxf>
      <font>
        <b val="0"/>
        <i val="0"/>
        <condense val="0"/>
        <extend val="0"/>
        <sz val="11"/>
        <color indexed="10"/>
      </font>
    </dxf>
    <dxf>
      <font>
        <b val="0"/>
        <condense val="0"/>
        <extend val="0"/>
        <sz val="11"/>
        <color indexed="8"/>
      </font>
    </dxf>
    <dxf>
      <font>
        <b val="0"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10"/>
      </font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8"/>
      </font>
    </dxf>
    <dxf>
      <font>
        <b/>
        <i val="0"/>
        <condense val="0"/>
        <extend val="0"/>
        <sz val="11"/>
        <color indexed="10"/>
      </font>
    </dxf>
    <dxf>
      <font>
        <b val="0"/>
        <i val="0"/>
        <sz val="11"/>
        <color indexed="10"/>
        <name val="Cambria"/>
        <scheme val="none"/>
      </font>
    </dxf>
    <dxf>
      <font>
        <b val="0"/>
        <i val="0"/>
        <sz val="11"/>
        <color indexed="10"/>
        <name val="Cambria"/>
        <scheme val="none"/>
      </font>
    </dxf>
    <dxf>
      <font>
        <b val="0"/>
        <i val="0"/>
        <sz val="11"/>
        <color indexed="10"/>
        <name val="Cambria"/>
        <scheme val="none"/>
      </font>
    </dxf>
    <dxf>
      <font>
        <b val="0"/>
        <i val="0"/>
        <sz val="11"/>
        <color indexed="10"/>
        <name val="Cambria"/>
        <scheme val="none"/>
      </font>
    </dxf>
    <dxf>
      <font>
        <b val="0"/>
        <i val="0"/>
        <sz val="11"/>
        <color indexed="10"/>
        <name val="Cambria"/>
        <scheme val="none"/>
      </font>
    </dxf>
    <dxf>
      <font>
        <b val="0"/>
        <i val="0"/>
        <sz val="11"/>
        <color indexed="10"/>
        <name val="Cambria"/>
        <scheme val="none"/>
      </font>
    </dxf>
    <dxf>
      <font>
        <b val="0"/>
        <i val="0"/>
        <sz val="11"/>
        <color indexed="10"/>
        <name val="Cambria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BO55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" sqref="B1"/>
    </sheetView>
  </sheetViews>
  <sheetFormatPr defaultRowHeight="15"/>
  <cols>
    <col min="2" max="2" width="14.7109375" customWidth="1"/>
    <col min="3" max="8" width="13.7109375" customWidth="1"/>
    <col min="9" max="9" width="14.7109375" customWidth="1"/>
    <col min="10" max="10" width="15.85546875" customWidth="1"/>
    <col min="11" max="11" width="15" customWidth="1"/>
    <col min="12" max="12" width="14" customWidth="1"/>
    <col min="13" max="13" width="14.28515625" customWidth="1"/>
    <col min="14" max="14" width="15.42578125" customWidth="1"/>
    <col min="15" max="15" width="14.7109375" customWidth="1"/>
    <col min="16" max="16" width="16.28515625" customWidth="1"/>
    <col min="43" max="43" width="11.5703125" customWidth="1"/>
    <col min="44" max="44" width="13" customWidth="1"/>
    <col min="46" max="46" width="13" customWidth="1"/>
    <col min="47" max="47" width="13.85546875" customWidth="1"/>
    <col min="54" max="54" width="12.28515625" customWidth="1"/>
  </cols>
  <sheetData>
    <row r="1" spans="2:67">
      <c r="B1" s="117" t="s">
        <v>40</v>
      </c>
    </row>
    <row r="3" spans="2:67">
      <c r="B3" s="107"/>
      <c r="C3" s="109" t="s">
        <v>0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1"/>
    </row>
    <row r="4" spans="2:67">
      <c r="B4" s="108"/>
      <c r="C4" s="28" t="s">
        <v>16</v>
      </c>
      <c r="D4" s="28" t="s">
        <v>17</v>
      </c>
      <c r="E4" s="28" t="s">
        <v>18</v>
      </c>
      <c r="F4" s="28" t="s">
        <v>19</v>
      </c>
      <c r="G4" s="28" t="s">
        <v>20</v>
      </c>
      <c r="H4" s="28" t="s">
        <v>21</v>
      </c>
      <c r="I4" s="1" t="s">
        <v>1</v>
      </c>
      <c r="J4" s="1" t="s">
        <v>2</v>
      </c>
      <c r="K4" s="1" t="s">
        <v>3</v>
      </c>
      <c r="L4" s="1" t="s">
        <v>4</v>
      </c>
      <c r="M4" s="1" t="s">
        <v>5</v>
      </c>
      <c r="N4" s="1" t="s">
        <v>6</v>
      </c>
      <c r="O4" s="1" t="s">
        <v>7</v>
      </c>
      <c r="P4" s="1" t="s">
        <v>8</v>
      </c>
    </row>
    <row r="5" spans="2:67" ht="15.75">
      <c r="B5" s="2" t="s">
        <v>9</v>
      </c>
      <c r="C5" s="4">
        <v>64883.5</v>
      </c>
      <c r="D5" s="4">
        <v>57581.95</v>
      </c>
      <c r="E5" s="4">
        <v>70374.100000000006</v>
      </c>
      <c r="F5" s="4">
        <v>64256.6</v>
      </c>
      <c r="G5" s="4">
        <v>60220.6</v>
      </c>
      <c r="H5" s="4">
        <v>76818.5</v>
      </c>
      <c r="I5" s="3">
        <v>75129</v>
      </c>
      <c r="J5" s="4">
        <v>77105.8</v>
      </c>
      <c r="K5" s="4">
        <v>82370.319999999992</v>
      </c>
      <c r="L5" s="4">
        <v>77323.845000000001</v>
      </c>
      <c r="M5" s="4">
        <v>73195.13</v>
      </c>
      <c r="N5" s="4">
        <v>79197.959999999992</v>
      </c>
      <c r="O5" s="5">
        <f>SUM(I5:N5)</f>
        <v>464322.05499999993</v>
      </c>
      <c r="P5" s="5">
        <f>AVERAGE(I5:N5)</f>
        <v>77387.009166666656</v>
      </c>
    </row>
    <row r="6" spans="2:67" ht="15.75">
      <c r="B6" s="2" t="s">
        <v>10</v>
      </c>
      <c r="C6" s="3">
        <v>70179</v>
      </c>
      <c r="D6" s="6">
        <v>75465</v>
      </c>
      <c r="E6" s="7">
        <v>67312</v>
      </c>
      <c r="F6" s="8">
        <v>48604</v>
      </c>
      <c r="G6" s="9">
        <v>34462</v>
      </c>
      <c r="H6" s="10">
        <v>29270</v>
      </c>
      <c r="I6" s="3">
        <v>34932</v>
      </c>
      <c r="J6" s="6">
        <v>31684</v>
      </c>
      <c r="K6" s="7">
        <v>62026</v>
      </c>
      <c r="L6" s="8">
        <v>37079</v>
      </c>
      <c r="M6" s="9">
        <v>76053</v>
      </c>
      <c r="N6" s="10">
        <v>109768</v>
      </c>
      <c r="O6" s="5">
        <f t="shared" ref="O6:O8" si="0">SUM(I6:N6)</f>
        <v>351542</v>
      </c>
      <c r="P6" s="5">
        <f>AVERAGE(I6:N6)</f>
        <v>58590.333333333336</v>
      </c>
    </row>
    <row r="7" spans="2:67" ht="15.75">
      <c r="B7" s="2" t="s">
        <v>11</v>
      </c>
      <c r="C7" s="11">
        <v>66023</v>
      </c>
      <c r="D7" s="12">
        <v>74631</v>
      </c>
      <c r="E7" s="13">
        <v>69990</v>
      </c>
      <c r="F7" s="14">
        <v>39275</v>
      </c>
      <c r="G7" s="9">
        <v>32472</v>
      </c>
      <c r="H7" s="15">
        <v>30566</v>
      </c>
      <c r="I7" s="11">
        <v>32225</v>
      </c>
      <c r="J7" s="12">
        <v>29268</v>
      </c>
      <c r="K7" s="13">
        <v>50680</v>
      </c>
      <c r="L7" s="14">
        <v>31793</v>
      </c>
      <c r="M7" s="9">
        <v>53431</v>
      </c>
      <c r="N7" s="15">
        <v>76431</v>
      </c>
      <c r="O7" s="5">
        <f t="shared" si="0"/>
        <v>273828</v>
      </c>
      <c r="P7" s="5">
        <f>AVERAGE(I7:N7)</f>
        <v>45638</v>
      </c>
    </row>
    <row r="8" spans="2:67">
      <c r="B8" s="2" t="s">
        <v>12</v>
      </c>
      <c r="C8" s="16">
        <v>1679</v>
      </c>
      <c r="D8" s="16">
        <v>3696.9</v>
      </c>
      <c r="E8" s="16">
        <v>3924.6</v>
      </c>
      <c r="F8" s="16">
        <v>2499</v>
      </c>
      <c r="G8" s="16">
        <v>1974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6376</v>
      </c>
      <c r="N8" s="16">
        <v>10136</v>
      </c>
      <c r="O8" s="5">
        <f t="shared" si="0"/>
        <v>16512</v>
      </c>
      <c r="P8" s="5">
        <f>AVERAGE(I8:N8)</f>
        <v>2752</v>
      </c>
    </row>
    <row r="9" spans="2:67">
      <c r="B9" s="2" t="s">
        <v>13</v>
      </c>
      <c r="C9" s="17">
        <v>5.3E-3</v>
      </c>
      <c r="D9" s="17">
        <v>3.0999999999999999E-3</v>
      </c>
      <c r="E9" s="17">
        <v>3.0999999999999999E-3</v>
      </c>
      <c r="F9" s="17">
        <v>3.0999999999999999E-3</v>
      </c>
      <c r="G9" s="17">
        <v>2.8999999999999998E-3</v>
      </c>
      <c r="H9" s="17">
        <v>1.9E-3</v>
      </c>
      <c r="I9" s="17">
        <v>2.8E-3</v>
      </c>
      <c r="J9" s="17">
        <v>2.3E-3</v>
      </c>
      <c r="K9" s="17">
        <v>3.8999999999999998E-3</v>
      </c>
      <c r="L9" s="17">
        <v>4.453834777096979E-3</v>
      </c>
      <c r="M9" s="17">
        <v>2.9210718365880965E-3</v>
      </c>
      <c r="N9" s="17">
        <v>2.3786341763783808E-3</v>
      </c>
      <c r="O9" s="18"/>
      <c r="P9" s="18">
        <f>AVERAGE(C9:N9)</f>
        <v>3.1794617325052884E-3</v>
      </c>
    </row>
    <row r="10" spans="2:67" ht="15.75">
      <c r="B10" s="2" t="s">
        <v>14</v>
      </c>
      <c r="C10" s="19">
        <v>0.92606790799561889</v>
      </c>
      <c r="D10" s="20">
        <v>0.91526104417670684</v>
      </c>
      <c r="E10" s="21">
        <v>0.91355932203389834</v>
      </c>
      <c r="F10" s="22">
        <v>0.93816906607604278</v>
      </c>
      <c r="G10" s="23">
        <v>0.97898832684824899</v>
      </c>
      <c r="H10" s="24">
        <v>0.96550000000000002</v>
      </c>
      <c r="I10" s="19">
        <v>0.95760000000000001</v>
      </c>
      <c r="J10" s="20">
        <v>0.95169999999999999</v>
      </c>
      <c r="K10" s="21">
        <v>0.93149999999999999</v>
      </c>
      <c r="L10" s="22">
        <v>0.90259999999999996</v>
      </c>
      <c r="M10" s="23">
        <v>0.93899999999999995</v>
      </c>
      <c r="N10" s="103">
        <v>0.91849999999999998</v>
      </c>
      <c r="O10" s="18"/>
      <c r="P10" s="18">
        <f>AVERAGE(C10:N10)</f>
        <v>0.93653713892754287</v>
      </c>
    </row>
    <row r="11" spans="2:67">
      <c r="B11" s="2" t="s">
        <v>15</v>
      </c>
      <c r="C11" s="25">
        <v>1769976058.667326</v>
      </c>
      <c r="D11" s="25">
        <v>1608712161.7916961</v>
      </c>
      <c r="E11" s="25">
        <v>1707622687.9588201</v>
      </c>
      <c r="F11" s="25">
        <v>1136958965.6981859</v>
      </c>
      <c r="G11" s="25">
        <v>592047094.09095383</v>
      </c>
      <c r="H11" s="26">
        <v>362180254.77342796</v>
      </c>
      <c r="I11" s="25">
        <v>848196427.12118769</v>
      </c>
      <c r="J11" s="25">
        <v>810963898.44082737</v>
      </c>
      <c r="K11" s="25">
        <v>1291833716.6801281</v>
      </c>
      <c r="L11" s="26">
        <v>429377140.82391262</v>
      </c>
      <c r="M11" s="26">
        <v>1210862781.6561899</v>
      </c>
      <c r="N11" s="26">
        <v>1171633090.2168369</v>
      </c>
      <c r="O11" s="5">
        <f>SUM(I11:N11)</f>
        <v>5762867054.9390831</v>
      </c>
      <c r="P11" s="5">
        <f>AVERAGE(I11:N11)</f>
        <v>960477842.48984718</v>
      </c>
    </row>
    <row r="13" spans="2:67" ht="15.75" thickBot="1">
      <c r="B13" s="36" t="s">
        <v>32</v>
      </c>
    </row>
    <row r="14" spans="2:67">
      <c r="B14" s="112" t="s">
        <v>22</v>
      </c>
      <c r="C14" s="104" t="s">
        <v>16</v>
      </c>
      <c r="D14" s="105"/>
      <c r="E14" s="105"/>
      <c r="F14" s="105"/>
      <c r="G14" s="106"/>
      <c r="H14" s="104" t="s">
        <v>17</v>
      </c>
      <c r="I14" s="105"/>
      <c r="J14" s="105"/>
      <c r="K14" s="105"/>
      <c r="L14" s="106"/>
      <c r="M14" s="104" t="s">
        <v>18</v>
      </c>
      <c r="N14" s="105"/>
      <c r="O14" s="105"/>
      <c r="P14" s="105"/>
      <c r="Q14" s="106"/>
      <c r="R14" s="104" t="s">
        <v>19</v>
      </c>
      <c r="S14" s="105"/>
      <c r="T14" s="105"/>
      <c r="U14" s="105"/>
      <c r="V14" s="106"/>
      <c r="W14" s="104" t="s">
        <v>20</v>
      </c>
      <c r="X14" s="105"/>
      <c r="Y14" s="105"/>
      <c r="Z14" s="105"/>
      <c r="AA14" s="106"/>
      <c r="AB14" s="104" t="s">
        <v>21</v>
      </c>
      <c r="AC14" s="105"/>
      <c r="AD14" s="105"/>
      <c r="AE14" s="105"/>
      <c r="AF14" s="105"/>
      <c r="AG14" s="104" t="s">
        <v>1</v>
      </c>
      <c r="AH14" s="105"/>
      <c r="AI14" s="105"/>
      <c r="AJ14" s="105"/>
      <c r="AK14" s="106"/>
      <c r="AL14" s="104" t="s">
        <v>2</v>
      </c>
      <c r="AM14" s="105"/>
      <c r="AN14" s="105"/>
      <c r="AO14" s="105"/>
      <c r="AP14" s="105"/>
      <c r="AQ14" s="104" t="s">
        <v>3</v>
      </c>
      <c r="AR14" s="105"/>
      <c r="AS14" s="105"/>
      <c r="AT14" s="105"/>
      <c r="AU14" s="105"/>
      <c r="AV14" s="113" t="s">
        <v>4</v>
      </c>
      <c r="AW14" s="114"/>
      <c r="AX14" s="114"/>
      <c r="AY14" s="114"/>
      <c r="AZ14" s="116"/>
      <c r="BA14" s="113" t="s">
        <v>5</v>
      </c>
      <c r="BB14" s="114"/>
      <c r="BC14" s="114"/>
      <c r="BD14" s="114"/>
      <c r="BE14" s="116"/>
      <c r="BF14" s="113" t="s">
        <v>6</v>
      </c>
      <c r="BG14" s="114"/>
      <c r="BH14" s="114"/>
      <c r="BI14" s="114"/>
      <c r="BJ14" s="115"/>
      <c r="BK14" s="113" t="s">
        <v>7</v>
      </c>
      <c r="BL14" s="114"/>
      <c r="BM14" s="114"/>
      <c r="BN14" s="114"/>
      <c r="BO14" s="115"/>
    </row>
    <row r="15" spans="2:67">
      <c r="B15" s="112"/>
      <c r="C15" s="39" t="s">
        <v>10</v>
      </c>
      <c r="D15" s="1" t="s">
        <v>11</v>
      </c>
      <c r="E15" s="1" t="s">
        <v>33</v>
      </c>
      <c r="F15" s="1" t="s">
        <v>23</v>
      </c>
      <c r="G15" s="40" t="s">
        <v>24</v>
      </c>
      <c r="H15" s="39" t="s">
        <v>10</v>
      </c>
      <c r="I15" s="1" t="s">
        <v>11</v>
      </c>
      <c r="J15" s="1" t="s">
        <v>33</v>
      </c>
      <c r="K15" s="1" t="s">
        <v>23</v>
      </c>
      <c r="L15" s="40" t="s">
        <v>24</v>
      </c>
      <c r="M15" s="39" t="s">
        <v>10</v>
      </c>
      <c r="N15" s="1" t="s">
        <v>11</v>
      </c>
      <c r="O15" s="1" t="s">
        <v>33</v>
      </c>
      <c r="P15" s="1" t="s">
        <v>23</v>
      </c>
      <c r="Q15" s="40" t="s">
        <v>24</v>
      </c>
      <c r="R15" s="39" t="s">
        <v>10</v>
      </c>
      <c r="S15" s="1" t="s">
        <v>11</v>
      </c>
      <c r="T15" s="1" t="s">
        <v>33</v>
      </c>
      <c r="U15" s="1" t="s">
        <v>23</v>
      </c>
      <c r="V15" s="40" t="s">
        <v>24</v>
      </c>
      <c r="W15" s="39" t="s">
        <v>10</v>
      </c>
      <c r="X15" s="1" t="s">
        <v>11</v>
      </c>
      <c r="Y15" s="1" t="s">
        <v>33</v>
      </c>
      <c r="Z15" s="1" t="s">
        <v>23</v>
      </c>
      <c r="AA15" s="40" t="s">
        <v>24</v>
      </c>
      <c r="AB15" s="39" t="s">
        <v>10</v>
      </c>
      <c r="AC15" s="1" t="s">
        <v>11</v>
      </c>
      <c r="AD15" s="1" t="s">
        <v>33</v>
      </c>
      <c r="AE15" s="1" t="s">
        <v>23</v>
      </c>
      <c r="AF15" s="38" t="s">
        <v>24</v>
      </c>
      <c r="AG15" s="56" t="s">
        <v>10</v>
      </c>
      <c r="AH15" s="27" t="s">
        <v>11</v>
      </c>
      <c r="AI15" s="27" t="s">
        <v>33</v>
      </c>
      <c r="AJ15" s="27" t="s">
        <v>23</v>
      </c>
      <c r="AK15" s="57" t="s">
        <v>24</v>
      </c>
      <c r="AL15" s="56" t="s">
        <v>10</v>
      </c>
      <c r="AM15" s="27" t="s">
        <v>11</v>
      </c>
      <c r="AN15" s="27" t="s">
        <v>33</v>
      </c>
      <c r="AO15" s="27" t="s">
        <v>23</v>
      </c>
      <c r="AP15" s="59" t="s">
        <v>24</v>
      </c>
      <c r="AQ15" s="56" t="s">
        <v>10</v>
      </c>
      <c r="AR15" s="27" t="s">
        <v>11</v>
      </c>
      <c r="AS15" s="27" t="s">
        <v>33</v>
      </c>
      <c r="AT15" s="27" t="s">
        <v>23</v>
      </c>
      <c r="AU15" s="59" t="s">
        <v>24</v>
      </c>
      <c r="AV15" s="39" t="s">
        <v>10</v>
      </c>
      <c r="AW15" s="1" t="s">
        <v>11</v>
      </c>
      <c r="AX15" s="1" t="s">
        <v>33</v>
      </c>
      <c r="AY15" s="1" t="s">
        <v>23</v>
      </c>
      <c r="AZ15" s="38" t="s">
        <v>24</v>
      </c>
      <c r="BA15" s="39" t="s">
        <v>10</v>
      </c>
      <c r="BB15" s="1" t="s">
        <v>11</v>
      </c>
      <c r="BC15" s="1" t="s">
        <v>33</v>
      </c>
      <c r="BD15" s="1" t="s">
        <v>23</v>
      </c>
      <c r="BE15" s="38" t="s">
        <v>24</v>
      </c>
      <c r="BF15" s="39" t="s">
        <v>10</v>
      </c>
      <c r="BG15" s="1" t="s">
        <v>11</v>
      </c>
      <c r="BH15" s="1" t="s">
        <v>33</v>
      </c>
      <c r="BI15" s="1" t="s">
        <v>23</v>
      </c>
      <c r="BJ15" s="40" t="s">
        <v>24</v>
      </c>
      <c r="BK15" s="39" t="s">
        <v>10</v>
      </c>
      <c r="BL15" s="1" t="s">
        <v>11</v>
      </c>
      <c r="BM15" s="1" t="s">
        <v>33</v>
      </c>
      <c r="BN15" s="1" t="s">
        <v>23</v>
      </c>
      <c r="BO15" s="40" t="s">
        <v>24</v>
      </c>
    </row>
    <row r="16" spans="2:67" ht="18.75">
      <c r="B16" s="44" t="s">
        <v>25</v>
      </c>
      <c r="C16" s="45">
        <v>14128</v>
      </c>
      <c r="D16" s="29">
        <v>14782</v>
      </c>
      <c r="E16" s="37">
        <f>D16/C16</f>
        <v>1.046291053227633</v>
      </c>
      <c r="F16" s="30">
        <f>11422+2585</f>
        <v>14007</v>
      </c>
      <c r="G16" s="46">
        <f>155+460+160</f>
        <v>775</v>
      </c>
      <c r="H16" s="42">
        <v>19205</v>
      </c>
      <c r="I16" s="5">
        <v>19565</v>
      </c>
      <c r="J16" s="37">
        <f>I16/H16</f>
        <v>1.0187451184587346</v>
      </c>
      <c r="K16" s="5">
        <v>17958</v>
      </c>
      <c r="L16" s="74">
        <v>1607</v>
      </c>
      <c r="M16" s="75">
        <v>20072</v>
      </c>
      <c r="N16" s="5">
        <v>20692</v>
      </c>
      <c r="O16" s="37">
        <f>N16/M16</f>
        <v>1.0308888003188521</v>
      </c>
      <c r="P16" s="5">
        <v>16767</v>
      </c>
      <c r="Q16" s="74">
        <v>3925</v>
      </c>
      <c r="R16" s="75">
        <v>4739</v>
      </c>
      <c r="S16" s="5">
        <v>5550</v>
      </c>
      <c r="T16" s="37">
        <f>S16/R16</f>
        <v>1.1711331504536822</v>
      </c>
      <c r="U16" s="5">
        <v>5445</v>
      </c>
      <c r="V16" s="74">
        <v>105</v>
      </c>
      <c r="W16" s="75">
        <v>2700</v>
      </c>
      <c r="X16" s="5">
        <v>2700</v>
      </c>
      <c r="Y16" s="37">
        <f>X16/W16</f>
        <v>1</v>
      </c>
      <c r="Z16" s="5">
        <v>2700</v>
      </c>
      <c r="AA16" s="74">
        <v>0</v>
      </c>
      <c r="AB16" s="75">
        <v>5400</v>
      </c>
      <c r="AC16" s="5">
        <v>5460</v>
      </c>
      <c r="AD16" s="37">
        <f>AC16/AB16</f>
        <v>1.0111111111111111</v>
      </c>
      <c r="AE16" s="5">
        <v>4930</v>
      </c>
      <c r="AF16" s="76">
        <v>530</v>
      </c>
      <c r="AG16" s="75">
        <v>1370</v>
      </c>
      <c r="AH16" s="5">
        <v>1901</v>
      </c>
      <c r="AI16" s="37">
        <f>AH16/AG16</f>
        <v>1.3875912408759123</v>
      </c>
      <c r="AJ16" s="5">
        <v>1460</v>
      </c>
      <c r="AK16" s="74">
        <v>441</v>
      </c>
      <c r="AL16" s="75">
        <v>4090</v>
      </c>
      <c r="AM16" s="5">
        <v>4333</v>
      </c>
      <c r="AN16" s="37">
        <f>AM16/AL16</f>
        <v>1.0594132029339853</v>
      </c>
      <c r="AO16" s="5">
        <v>3480</v>
      </c>
      <c r="AP16" s="76">
        <v>853</v>
      </c>
      <c r="AQ16" s="77">
        <v>10419</v>
      </c>
      <c r="AR16" s="78">
        <v>10529</v>
      </c>
      <c r="AS16" s="37">
        <f>AR16/AQ16</f>
        <v>1.0105576350897398</v>
      </c>
      <c r="AT16" s="5">
        <v>8905</v>
      </c>
      <c r="AU16" s="76">
        <v>1624</v>
      </c>
      <c r="AV16" s="79">
        <v>3685</v>
      </c>
      <c r="AW16" s="80">
        <v>4113</v>
      </c>
      <c r="AX16" s="37">
        <f>AW16/AV16</f>
        <v>1.1161465400271371</v>
      </c>
      <c r="AY16" s="5">
        <v>3945</v>
      </c>
      <c r="AZ16" s="76">
        <v>168</v>
      </c>
      <c r="BA16" s="79">
        <v>800</v>
      </c>
      <c r="BB16" s="81">
        <v>1969</v>
      </c>
      <c r="BC16" s="37">
        <f>BB16/BA16</f>
        <v>2.4612500000000002</v>
      </c>
      <c r="BD16" s="82">
        <v>1710</v>
      </c>
      <c r="BE16" s="83">
        <v>259</v>
      </c>
      <c r="BF16" s="84">
        <v>7237</v>
      </c>
      <c r="BG16" s="85">
        <v>3364</v>
      </c>
      <c r="BH16" s="37">
        <f>BG16/BF16</f>
        <v>0.46483349454193729</v>
      </c>
      <c r="BI16" s="82">
        <v>3080</v>
      </c>
      <c r="BJ16" s="86">
        <v>284</v>
      </c>
      <c r="BK16" s="84">
        <f>C16+H16+M16+R16+W16+AB16+AG16+AL16+AQ16+AV16+BA16+BF16</f>
        <v>93845</v>
      </c>
      <c r="BL16" s="84">
        <f>D16+I16+N16+S16+X16+AC16+AH16+AM16+AR16+AW16+BB16+BG16</f>
        <v>94958</v>
      </c>
      <c r="BM16" s="37">
        <f>BL16/BK16</f>
        <v>1.0118599818850231</v>
      </c>
      <c r="BN16" s="84">
        <f t="shared" ref="BN16:BO22" si="1">F16+K16+P16+U16+Z16+AE16+AJ16+AO16+AT16+AY16+BD16+BI16</f>
        <v>84387</v>
      </c>
      <c r="BO16" s="84">
        <f t="shared" si="1"/>
        <v>10571</v>
      </c>
    </row>
    <row r="17" spans="2:67" ht="18.75">
      <c r="B17" s="44" t="s">
        <v>26</v>
      </c>
      <c r="C17" s="47">
        <v>5321</v>
      </c>
      <c r="D17" s="31">
        <v>6407</v>
      </c>
      <c r="E17" s="37">
        <f t="shared" ref="E17:E22" si="2">D17/C17</f>
        <v>1.2040969742529599</v>
      </c>
      <c r="F17" s="30">
        <v>6080</v>
      </c>
      <c r="G17" s="46">
        <v>327</v>
      </c>
      <c r="H17" s="42">
        <v>13020</v>
      </c>
      <c r="I17" s="5">
        <v>12970</v>
      </c>
      <c r="J17" s="37">
        <f t="shared" ref="J17:J22" si="3">I17/H17</f>
        <v>0.99615975422427039</v>
      </c>
      <c r="K17" s="5">
        <v>9870</v>
      </c>
      <c r="L17" s="74">
        <v>3100</v>
      </c>
      <c r="M17" s="75">
        <v>9000</v>
      </c>
      <c r="N17" s="5">
        <v>9616</v>
      </c>
      <c r="O17" s="37">
        <f t="shared" ref="O17:O22" si="4">N17/M17</f>
        <v>1.0684444444444445</v>
      </c>
      <c r="P17" s="5">
        <v>6582</v>
      </c>
      <c r="Q17" s="74">
        <v>3034</v>
      </c>
      <c r="R17" s="75">
        <v>2513</v>
      </c>
      <c r="S17" s="5">
        <v>2861</v>
      </c>
      <c r="T17" s="37">
        <f t="shared" ref="T17:T22" si="5">S17/R17</f>
        <v>1.1384799044966176</v>
      </c>
      <c r="U17" s="5">
        <v>2477</v>
      </c>
      <c r="V17" s="74">
        <v>384</v>
      </c>
      <c r="W17" s="75">
        <v>1800</v>
      </c>
      <c r="X17" s="5">
        <v>2066</v>
      </c>
      <c r="Y17" s="37">
        <f t="shared" ref="Y17:Y22" si="6">X17/W17</f>
        <v>1.1477777777777778</v>
      </c>
      <c r="Z17" s="5">
        <v>1456</v>
      </c>
      <c r="AA17" s="74">
        <v>610</v>
      </c>
      <c r="AB17" s="75">
        <v>1550</v>
      </c>
      <c r="AC17" s="5">
        <v>1552</v>
      </c>
      <c r="AD17" s="37">
        <f t="shared" ref="AD17:AD22" si="7">AC17/AB17</f>
        <v>1.0012903225806451</v>
      </c>
      <c r="AE17" s="5">
        <v>0</v>
      </c>
      <c r="AF17" s="76">
        <v>1552</v>
      </c>
      <c r="AG17" s="75">
        <v>7035</v>
      </c>
      <c r="AH17" s="5">
        <v>6927</v>
      </c>
      <c r="AI17" s="37">
        <f t="shared" ref="AI17:AI22" si="8">AH17/AG17</f>
        <v>0.98464818763326223</v>
      </c>
      <c r="AJ17" s="5">
        <v>5074</v>
      </c>
      <c r="AK17" s="74">
        <v>1853</v>
      </c>
      <c r="AL17" s="75">
        <v>4600</v>
      </c>
      <c r="AM17" s="5">
        <v>4748</v>
      </c>
      <c r="AN17" s="37">
        <f t="shared" ref="AN17:AN22" si="9">AM17/AL17</f>
        <v>1.0321739130434782</v>
      </c>
      <c r="AO17" s="5">
        <v>3416</v>
      </c>
      <c r="AP17" s="76">
        <v>1332</v>
      </c>
      <c r="AQ17" s="87">
        <v>4800</v>
      </c>
      <c r="AR17" s="78">
        <v>4919</v>
      </c>
      <c r="AS17" s="37">
        <f t="shared" ref="AS17:AS22" si="10">AR17/AQ17</f>
        <v>1.0247916666666668</v>
      </c>
      <c r="AT17" s="5">
        <v>3954</v>
      </c>
      <c r="AU17" s="76">
        <v>965</v>
      </c>
      <c r="AV17" s="79">
        <v>2637</v>
      </c>
      <c r="AW17" s="80">
        <v>1799</v>
      </c>
      <c r="AX17" s="37">
        <f t="shared" ref="AX17:AX22" si="11">AW17/AV17</f>
        <v>0.6822146378460372</v>
      </c>
      <c r="AY17" s="5">
        <v>55</v>
      </c>
      <c r="AZ17" s="76">
        <v>1744</v>
      </c>
      <c r="BA17" s="79">
        <v>8290</v>
      </c>
      <c r="BB17" s="81">
        <v>8324</v>
      </c>
      <c r="BC17" s="37">
        <f t="shared" ref="BC17:BC22" si="12">BB17/BA17</f>
        <v>1.0041013268998793</v>
      </c>
      <c r="BD17" s="82">
        <v>7484</v>
      </c>
      <c r="BE17" s="83">
        <v>840</v>
      </c>
      <c r="BF17" s="84">
        <v>6609</v>
      </c>
      <c r="BG17" s="85">
        <v>1885</v>
      </c>
      <c r="BH17" s="37">
        <f t="shared" ref="BH17:BH22" si="13">BG17/BF17</f>
        <v>0.28521712815857164</v>
      </c>
      <c r="BI17" s="82">
        <v>1499</v>
      </c>
      <c r="BJ17" s="86">
        <v>386</v>
      </c>
      <c r="BK17" s="84">
        <f t="shared" ref="BK17:BK22" si="14">C17+H17+M17+R17+W17+AB17+AG17+AL17+AQ17+AV17+BA17+BF17</f>
        <v>67175</v>
      </c>
      <c r="BL17" s="84">
        <f t="shared" ref="BL17:BL22" si="15">D17+I17+N17+S17+X17+AC17+AH17+AM17+AR17+AW17+BB17+BG17</f>
        <v>64074</v>
      </c>
      <c r="BM17" s="37">
        <f t="shared" ref="BM17:BM22" si="16">BL17/BK17</f>
        <v>0.95383699292891699</v>
      </c>
      <c r="BN17" s="84">
        <f t="shared" si="1"/>
        <v>47947</v>
      </c>
      <c r="BO17" s="84">
        <f t="shared" si="1"/>
        <v>16127</v>
      </c>
    </row>
    <row r="18" spans="2:67" ht="18.75">
      <c r="B18" s="44" t="s">
        <v>27</v>
      </c>
      <c r="C18" s="48">
        <v>23422</v>
      </c>
      <c r="D18" s="32">
        <v>24850</v>
      </c>
      <c r="E18" s="37">
        <f t="shared" si="2"/>
        <v>1.0609683203825464</v>
      </c>
      <c r="F18" s="30">
        <f>320+20392+214+190+226+124+204</f>
        <v>21670</v>
      </c>
      <c r="G18" s="46">
        <f>3+286+18+1303+1183+207+4+20+112+44</f>
        <v>3180</v>
      </c>
      <c r="H18" s="42">
        <v>22102</v>
      </c>
      <c r="I18" s="5">
        <v>21793</v>
      </c>
      <c r="J18" s="37">
        <f t="shared" si="3"/>
        <v>0.98601936476336982</v>
      </c>
      <c r="K18" s="5">
        <v>18688</v>
      </c>
      <c r="L18" s="74">
        <v>3105</v>
      </c>
      <c r="M18" s="75">
        <v>18740</v>
      </c>
      <c r="N18" s="5">
        <v>20927</v>
      </c>
      <c r="O18" s="37">
        <f t="shared" si="4"/>
        <v>1.1167022411953043</v>
      </c>
      <c r="P18" s="5">
        <v>18437</v>
      </c>
      <c r="Q18" s="74">
        <v>2490</v>
      </c>
      <c r="R18" s="75">
        <v>11549</v>
      </c>
      <c r="S18" s="5">
        <v>12567</v>
      </c>
      <c r="T18" s="37">
        <f t="shared" si="5"/>
        <v>1.0881461598406788</v>
      </c>
      <c r="U18" s="5">
        <v>11068</v>
      </c>
      <c r="V18" s="74">
        <v>1499</v>
      </c>
      <c r="W18" s="75">
        <v>6756</v>
      </c>
      <c r="X18" s="5">
        <v>6394</v>
      </c>
      <c r="Y18" s="37">
        <f t="shared" si="6"/>
        <v>0.94641799881586741</v>
      </c>
      <c r="Z18" s="5">
        <v>5265</v>
      </c>
      <c r="AA18" s="74">
        <v>1129</v>
      </c>
      <c r="AB18" s="75">
        <v>4985</v>
      </c>
      <c r="AC18" s="5">
        <v>5600</v>
      </c>
      <c r="AD18" s="37">
        <f t="shared" si="7"/>
        <v>1.123370110330993</v>
      </c>
      <c r="AE18" s="5">
        <v>3888</v>
      </c>
      <c r="AF18" s="76">
        <v>1712</v>
      </c>
      <c r="AG18" s="75">
        <v>9857</v>
      </c>
      <c r="AH18" s="5">
        <v>9730</v>
      </c>
      <c r="AI18" s="37">
        <f t="shared" si="8"/>
        <v>0.98711575530080142</v>
      </c>
      <c r="AJ18" s="5">
        <v>9187</v>
      </c>
      <c r="AK18" s="74">
        <v>543</v>
      </c>
      <c r="AL18" s="75">
        <v>9381</v>
      </c>
      <c r="AM18" s="5">
        <v>9180</v>
      </c>
      <c r="AN18" s="37">
        <f t="shared" si="9"/>
        <v>0.9785737128237928</v>
      </c>
      <c r="AO18" s="5">
        <v>8120</v>
      </c>
      <c r="AP18" s="76">
        <v>1060</v>
      </c>
      <c r="AQ18" s="87">
        <v>13118</v>
      </c>
      <c r="AR18" s="78">
        <v>13166</v>
      </c>
      <c r="AS18" s="37">
        <f t="shared" si="10"/>
        <v>1.0036590943741424</v>
      </c>
      <c r="AT18" s="5">
        <v>10826</v>
      </c>
      <c r="AU18" s="76">
        <v>2340</v>
      </c>
      <c r="AV18" s="79">
        <v>8529</v>
      </c>
      <c r="AW18" s="80">
        <v>7109</v>
      </c>
      <c r="AX18" s="37">
        <f t="shared" si="11"/>
        <v>0.83350920389260175</v>
      </c>
      <c r="AY18" s="5">
        <v>5688</v>
      </c>
      <c r="AZ18" s="76">
        <v>1421</v>
      </c>
      <c r="BA18" s="79">
        <v>7209</v>
      </c>
      <c r="BB18" s="81">
        <v>8294</v>
      </c>
      <c r="BC18" s="37">
        <f t="shared" si="12"/>
        <v>1.1505063115550007</v>
      </c>
      <c r="BD18" s="82">
        <v>5249</v>
      </c>
      <c r="BE18" s="83">
        <v>3045</v>
      </c>
      <c r="BF18" s="84">
        <v>24143</v>
      </c>
      <c r="BG18" s="85">
        <v>9790</v>
      </c>
      <c r="BH18" s="37">
        <f t="shared" si="13"/>
        <v>0.40550055916828892</v>
      </c>
      <c r="BI18" s="82">
        <v>8544</v>
      </c>
      <c r="BJ18" s="86">
        <v>1246</v>
      </c>
      <c r="BK18" s="84">
        <f t="shared" si="14"/>
        <v>159791</v>
      </c>
      <c r="BL18" s="84">
        <f t="shared" si="15"/>
        <v>149400</v>
      </c>
      <c r="BM18" s="37">
        <f t="shared" si="16"/>
        <v>0.93497130626881364</v>
      </c>
      <c r="BN18" s="84">
        <f t="shared" si="1"/>
        <v>126630</v>
      </c>
      <c r="BO18" s="84">
        <f t="shared" si="1"/>
        <v>22770</v>
      </c>
    </row>
    <row r="19" spans="2:67" ht="18.75">
      <c r="B19" s="44" t="s">
        <v>28</v>
      </c>
      <c r="C19" s="49">
        <v>9918</v>
      </c>
      <c r="D19" s="33">
        <v>8630</v>
      </c>
      <c r="E19" s="37">
        <f t="shared" si="2"/>
        <v>0.8701351078846542</v>
      </c>
      <c r="F19" s="30">
        <f>186+644+43+2355+16+378</f>
        <v>3622</v>
      </c>
      <c r="G19" s="46">
        <f>493+296+15+680+235+60+19+1248+50+84+197+226+16+625+32+55+202+475</f>
        <v>5008</v>
      </c>
      <c r="H19" s="42">
        <v>7880</v>
      </c>
      <c r="I19" s="5">
        <v>8162</v>
      </c>
      <c r="J19" s="37">
        <f t="shared" si="3"/>
        <v>1.0357868020304568</v>
      </c>
      <c r="K19" s="5">
        <v>1680</v>
      </c>
      <c r="L19" s="74">
        <v>6482</v>
      </c>
      <c r="M19" s="75">
        <v>6232</v>
      </c>
      <c r="N19" s="5">
        <v>6014</v>
      </c>
      <c r="O19" s="37">
        <f t="shared" si="4"/>
        <v>0.96501925545571243</v>
      </c>
      <c r="P19" s="5">
        <v>2915</v>
      </c>
      <c r="Q19" s="74">
        <v>3099</v>
      </c>
      <c r="R19" s="75">
        <v>3736</v>
      </c>
      <c r="S19" s="5">
        <v>3597</v>
      </c>
      <c r="T19" s="37">
        <f t="shared" si="5"/>
        <v>0.96279443254817987</v>
      </c>
      <c r="U19" s="5">
        <v>1839</v>
      </c>
      <c r="V19" s="74">
        <v>1758</v>
      </c>
      <c r="W19" s="75">
        <v>3494</v>
      </c>
      <c r="X19" s="5">
        <v>3419</v>
      </c>
      <c r="Y19" s="37">
        <f t="shared" si="6"/>
        <v>0.97853463079564973</v>
      </c>
      <c r="Z19" s="5">
        <v>1089</v>
      </c>
      <c r="AA19" s="74">
        <v>2330</v>
      </c>
      <c r="AB19" s="75">
        <v>5077</v>
      </c>
      <c r="AC19" s="5">
        <v>5257</v>
      </c>
      <c r="AD19" s="37">
        <f t="shared" si="7"/>
        <v>1.035454008272602</v>
      </c>
      <c r="AE19" s="5">
        <v>1056</v>
      </c>
      <c r="AF19" s="76">
        <v>4201</v>
      </c>
      <c r="AG19" s="75">
        <v>3208</v>
      </c>
      <c r="AH19" s="5">
        <f>2895+836</f>
        <v>3731</v>
      </c>
      <c r="AI19" s="37">
        <f t="shared" si="8"/>
        <v>1.1630299251870324</v>
      </c>
      <c r="AJ19" s="5">
        <f>410+836</f>
        <v>1246</v>
      </c>
      <c r="AK19" s="74">
        <f>1203+1282</f>
        <v>2485</v>
      </c>
      <c r="AL19" s="75">
        <f>2056+836</f>
        <v>2892</v>
      </c>
      <c r="AM19" s="5">
        <f>1491+836</f>
        <v>2327</v>
      </c>
      <c r="AN19" s="37">
        <f t="shared" si="9"/>
        <v>0.80463347164591981</v>
      </c>
      <c r="AO19" s="5">
        <v>342</v>
      </c>
      <c r="AP19" s="76">
        <f>1144+5+836</f>
        <v>1985</v>
      </c>
      <c r="AQ19" s="87">
        <f>7050+836</f>
        <v>7886</v>
      </c>
      <c r="AR19" s="78">
        <f>4020+836</f>
        <v>4856</v>
      </c>
      <c r="AS19" s="37">
        <f t="shared" si="10"/>
        <v>0.61577479076845043</v>
      </c>
      <c r="AT19" s="5">
        <v>1132</v>
      </c>
      <c r="AU19" s="76">
        <f>2238+331+319+836</f>
        <v>3724</v>
      </c>
      <c r="AV19" s="79">
        <f>7147+1396</f>
        <v>8543</v>
      </c>
      <c r="AW19" s="80">
        <f>4296+836</f>
        <v>5132</v>
      </c>
      <c r="AX19" s="37">
        <f t="shared" si="11"/>
        <v>0.60072574037223458</v>
      </c>
      <c r="AY19" s="5">
        <v>1267</v>
      </c>
      <c r="AZ19" s="76">
        <f>2626+836+403</f>
        <v>3865</v>
      </c>
      <c r="BA19" s="79">
        <f>9328+1672</f>
        <v>11000</v>
      </c>
      <c r="BB19" s="81">
        <f>8965+1088</f>
        <v>10053</v>
      </c>
      <c r="BC19" s="37">
        <f t="shared" si="12"/>
        <v>0.91390909090909089</v>
      </c>
      <c r="BD19" s="82">
        <f>1900+1088+116</f>
        <v>3104</v>
      </c>
      <c r="BE19" s="83">
        <f>5710+1196+43</f>
        <v>6949</v>
      </c>
      <c r="BF19" s="84">
        <f>10486+200+816+2508</f>
        <v>14010</v>
      </c>
      <c r="BG19" s="85">
        <f>6121+200+804+1420</f>
        <v>8545</v>
      </c>
      <c r="BH19" s="37">
        <f t="shared" si="13"/>
        <v>0.60992148465381868</v>
      </c>
      <c r="BI19" s="82">
        <f>1793+192+1420</f>
        <v>3405</v>
      </c>
      <c r="BJ19" s="86">
        <f>2903+1068+357+200+612</f>
        <v>5140</v>
      </c>
      <c r="BK19" s="84">
        <f t="shared" si="14"/>
        <v>83876</v>
      </c>
      <c r="BL19" s="84">
        <f t="shared" si="15"/>
        <v>69723</v>
      </c>
      <c r="BM19" s="37">
        <f t="shared" si="16"/>
        <v>0.83126281653869993</v>
      </c>
      <c r="BN19" s="84">
        <f t="shared" si="1"/>
        <v>22697</v>
      </c>
      <c r="BO19" s="84">
        <f t="shared" si="1"/>
        <v>47026</v>
      </c>
    </row>
    <row r="20" spans="2:67" ht="18.75">
      <c r="B20" s="44" t="s">
        <v>29</v>
      </c>
      <c r="C20" s="50">
        <v>9849</v>
      </c>
      <c r="D20" s="34">
        <v>5654</v>
      </c>
      <c r="E20" s="37">
        <f t="shared" si="2"/>
        <v>0.57406843334348667</v>
      </c>
      <c r="F20" s="30">
        <v>5654</v>
      </c>
      <c r="G20" s="46">
        <v>0</v>
      </c>
      <c r="H20" s="42">
        <v>6784</v>
      </c>
      <c r="I20" s="5">
        <v>6634</v>
      </c>
      <c r="J20" s="37">
        <f t="shared" si="3"/>
        <v>0.97788915094339623</v>
      </c>
      <c r="K20" s="5">
        <v>0</v>
      </c>
      <c r="L20" s="74">
        <v>6634</v>
      </c>
      <c r="M20" s="75">
        <v>7273</v>
      </c>
      <c r="N20" s="5">
        <v>6853</v>
      </c>
      <c r="O20" s="37">
        <f t="shared" si="4"/>
        <v>0.9422521655437921</v>
      </c>
      <c r="P20" s="5">
        <v>0</v>
      </c>
      <c r="Q20" s="74">
        <v>6853</v>
      </c>
      <c r="R20" s="75">
        <v>13221</v>
      </c>
      <c r="S20" s="5">
        <v>7016</v>
      </c>
      <c r="T20" s="37">
        <f t="shared" si="5"/>
        <v>0.53067090235231829</v>
      </c>
      <c r="U20" s="5">
        <v>0</v>
      </c>
      <c r="V20" s="74">
        <v>7016</v>
      </c>
      <c r="W20" s="75">
        <v>11232</v>
      </c>
      <c r="X20" s="5">
        <v>10447</v>
      </c>
      <c r="Y20" s="37">
        <f t="shared" si="6"/>
        <v>0.93011039886039881</v>
      </c>
      <c r="Z20" s="5">
        <v>0</v>
      </c>
      <c r="AA20" s="74">
        <v>10447</v>
      </c>
      <c r="AB20" s="75">
        <v>4933</v>
      </c>
      <c r="AC20" s="5">
        <v>5480</v>
      </c>
      <c r="AD20" s="37">
        <f t="shared" si="7"/>
        <v>1.1108858706669369</v>
      </c>
      <c r="AE20" s="5">
        <v>0</v>
      </c>
      <c r="AF20" s="76">
        <v>5480</v>
      </c>
      <c r="AG20" s="75">
        <v>5113</v>
      </c>
      <c r="AH20" s="5">
        <v>4973</v>
      </c>
      <c r="AI20" s="37">
        <f t="shared" si="8"/>
        <v>0.97261881478584</v>
      </c>
      <c r="AJ20" s="5">
        <v>0</v>
      </c>
      <c r="AK20" s="74">
        <v>4973</v>
      </c>
      <c r="AL20" s="75">
        <v>3768</v>
      </c>
      <c r="AM20" s="5">
        <v>3372</v>
      </c>
      <c r="AN20" s="37">
        <f t="shared" si="9"/>
        <v>0.89490445859872614</v>
      </c>
      <c r="AO20" s="5">
        <v>0</v>
      </c>
      <c r="AP20" s="76">
        <v>3372</v>
      </c>
      <c r="AQ20" s="87">
        <v>15716</v>
      </c>
      <c r="AR20" s="78">
        <v>9422</v>
      </c>
      <c r="AS20" s="37">
        <f t="shared" si="10"/>
        <v>0.59951641639093922</v>
      </c>
      <c r="AT20" s="5">
        <v>0</v>
      </c>
      <c r="AU20" s="76">
        <v>9422</v>
      </c>
      <c r="AV20" s="79">
        <v>5983</v>
      </c>
      <c r="AW20" s="80">
        <v>6132</v>
      </c>
      <c r="AX20" s="37">
        <f t="shared" si="11"/>
        <v>1.0249038943673743</v>
      </c>
      <c r="AY20" s="5">
        <v>0</v>
      </c>
      <c r="AZ20" s="76">
        <v>6132</v>
      </c>
      <c r="BA20" s="79">
        <v>42288</v>
      </c>
      <c r="BB20" s="81">
        <v>18585</v>
      </c>
      <c r="BC20" s="37">
        <f t="shared" si="12"/>
        <v>0.43948637911464244</v>
      </c>
      <c r="BD20" s="82">
        <v>0</v>
      </c>
      <c r="BE20" s="83">
        <v>18585</v>
      </c>
      <c r="BF20" s="84">
        <v>29578</v>
      </c>
      <c r="BG20" s="85">
        <v>27273</v>
      </c>
      <c r="BH20" s="37">
        <f t="shared" si="13"/>
        <v>0.92207045777266883</v>
      </c>
      <c r="BI20" s="82">
        <v>0</v>
      </c>
      <c r="BJ20" s="86">
        <v>27273</v>
      </c>
      <c r="BK20" s="84">
        <f t="shared" si="14"/>
        <v>155738</v>
      </c>
      <c r="BL20" s="84">
        <f t="shared" si="15"/>
        <v>111841</v>
      </c>
      <c r="BM20" s="37">
        <f t="shared" si="16"/>
        <v>0.71813558669046729</v>
      </c>
      <c r="BN20" s="84">
        <f t="shared" si="1"/>
        <v>5654</v>
      </c>
      <c r="BO20" s="84">
        <f t="shared" si="1"/>
        <v>106187</v>
      </c>
    </row>
    <row r="21" spans="2:67">
      <c r="B21" s="44" t="s">
        <v>30</v>
      </c>
      <c r="C21" s="51">
        <v>0</v>
      </c>
      <c r="D21" s="35">
        <v>55</v>
      </c>
      <c r="E21" s="37" t="e">
        <f t="shared" si="2"/>
        <v>#DIV/0!</v>
      </c>
      <c r="F21" s="30">
        <v>0</v>
      </c>
      <c r="G21" s="46">
        <v>55</v>
      </c>
      <c r="H21" s="42">
        <v>0</v>
      </c>
      <c r="I21" s="5">
        <v>0</v>
      </c>
      <c r="J21" s="37" t="e">
        <f t="shared" si="3"/>
        <v>#DIV/0!</v>
      </c>
      <c r="K21" s="5">
        <v>0</v>
      </c>
      <c r="L21" s="74">
        <v>0</v>
      </c>
      <c r="M21" s="75">
        <v>356</v>
      </c>
      <c r="N21" s="5">
        <v>385</v>
      </c>
      <c r="O21" s="37">
        <f t="shared" si="4"/>
        <v>1.0814606741573034</v>
      </c>
      <c r="P21" s="5">
        <v>0</v>
      </c>
      <c r="Q21" s="74">
        <v>385</v>
      </c>
      <c r="R21" s="75">
        <v>1948</v>
      </c>
      <c r="S21" s="5">
        <v>1477</v>
      </c>
      <c r="T21" s="37">
        <f t="shared" si="5"/>
        <v>0.75821355236139631</v>
      </c>
      <c r="U21" s="5">
        <v>0</v>
      </c>
      <c r="V21" s="74">
        <v>1477</v>
      </c>
      <c r="W21" s="75">
        <v>684</v>
      </c>
      <c r="X21" s="5">
        <v>416</v>
      </c>
      <c r="Y21" s="37">
        <f t="shared" si="6"/>
        <v>0.60818713450292394</v>
      </c>
      <c r="Z21" s="5">
        <v>0</v>
      </c>
      <c r="AA21" s="74">
        <v>416</v>
      </c>
      <c r="AB21" s="75">
        <v>309</v>
      </c>
      <c r="AC21" s="5">
        <v>251</v>
      </c>
      <c r="AD21" s="37">
        <f t="shared" si="7"/>
        <v>0.81229773462783172</v>
      </c>
      <c r="AE21" s="5">
        <v>0</v>
      </c>
      <c r="AF21" s="76">
        <v>251</v>
      </c>
      <c r="AG21" s="75">
        <v>894</v>
      </c>
      <c r="AH21" s="5">
        <v>0</v>
      </c>
      <c r="AI21" s="37">
        <f t="shared" si="8"/>
        <v>0</v>
      </c>
      <c r="AJ21" s="5">
        <v>0</v>
      </c>
      <c r="AK21" s="74">
        <v>0</v>
      </c>
      <c r="AL21" s="75">
        <v>0</v>
      </c>
      <c r="AM21" s="5">
        <v>0</v>
      </c>
      <c r="AN21" s="37" t="e">
        <f t="shared" si="9"/>
        <v>#DIV/0!</v>
      </c>
      <c r="AO21" s="5">
        <v>0</v>
      </c>
      <c r="AP21" s="76">
        <v>0</v>
      </c>
      <c r="AQ21" s="88">
        <v>282</v>
      </c>
      <c r="AR21" s="5">
        <v>0</v>
      </c>
      <c r="AS21" s="37">
        <f t="shared" si="10"/>
        <v>0</v>
      </c>
      <c r="AT21" s="5">
        <v>0</v>
      </c>
      <c r="AU21" s="76">
        <v>0</v>
      </c>
      <c r="AV21" s="79">
        <v>55</v>
      </c>
      <c r="AW21" s="80">
        <v>0</v>
      </c>
      <c r="AX21" s="37">
        <f t="shared" si="11"/>
        <v>0</v>
      </c>
      <c r="AY21" s="5">
        <v>0</v>
      </c>
      <c r="AZ21" s="76">
        <v>0</v>
      </c>
      <c r="BA21" s="79">
        <v>120</v>
      </c>
      <c r="BB21" s="80">
        <v>0</v>
      </c>
      <c r="BC21" s="37">
        <f t="shared" si="12"/>
        <v>0</v>
      </c>
      <c r="BD21" s="82">
        <v>0</v>
      </c>
      <c r="BE21" s="83">
        <v>0</v>
      </c>
      <c r="BF21" s="84">
        <v>0</v>
      </c>
      <c r="BG21" s="85">
        <v>0</v>
      </c>
      <c r="BH21" s="37" t="e">
        <f t="shared" si="13"/>
        <v>#DIV/0!</v>
      </c>
      <c r="BI21" s="82">
        <v>0</v>
      </c>
      <c r="BJ21" s="86">
        <v>0</v>
      </c>
      <c r="BK21" s="84">
        <f t="shared" si="14"/>
        <v>4648</v>
      </c>
      <c r="BL21" s="84">
        <f t="shared" si="15"/>
        <v>2584</v>
      </c>
      <c r="BM21" s="37">
        <f t="shared" si="16"/>
        <v>0.55593803786574869</v>
      </c>
      <c r="BN21" s="84">
        <f t="shared" si="1"/>
        <v>0</v>
      </c>
      <c r="BO21" s="84">
        <f t="shared" si="1"/>
        <v>2584</v>
      </c>
    </row>
    <row r="22" spans="2:67" ht="19.5" thickBot="1">
      <c r="B22" s="44" t="s">
        <v>31</v>
      </c>
      <c r="C22" s="52">
        <v>7541</v>
      </c>
      <c r="D22" s="53">
        <v>5645</v>
      </c>
      <c r="E22" s="41">
        <f t="shared" si="2"/>
        <v>0.74857445962073998</v>
      </c>
      <c r="F22" s="54">
        <v>126</v>
      </c>
      <c r="G22" s="55">
        <v>5519</v>
      </c>
      <c r="H22" s="43">
        <v>6474</v>
      </c>
      <c r="I22" s="89">
        <v>5507</v>
      </c>
      <c r="J22" s="41">
        <f t="shared" si="3"/>
        <v>0.85063330244053137</v>
      </c>
      <c r="K22" s="89">
        <v>104</v>
      </c>
      <c r="L22" s="90">
        <v>5403</v>
      </c>
      <c r="M22" s="91">
        <v>5755</v>
      </c>
      <c r="N22" s="89">
        <v>5503</v>
      </c>
      <c r="O22" s="41">
        <f t="shared" si="4"/>
        <v>0.95621198957428322</v>
      </c>
      <c r="P22" s="89">
        <v>70</v>
      </c>
      <c r="Q22" s="90">
        <v>5433</v>
      </c>
      <c r="R22" s="91">
        <v>10898</v>
      </c>
      <c r="S22" s="89">
        <v>6207</v>
      </c>
      <c r="T22" s="41">
        <f t="shared" si="5"/>
        <v>0.56955404661405762</v>
      </c>
      <c r="U22" s="89">
        <v>80</v>
      </c>
      <c r="V22" s="90">
        <v>6127</v>
      </c>
      <c r="W22" s="91">
        <v>7796</v>
      </c>
      <c r="X22" s="89">
        <v>7030</v>
      </c>
      <c r="Y22" s="41">
        <f t="shared" si="6"/>
        <v>0.90174448435094923</v>
      </c>
      <c r="Z22" s="89">
        <v>0</v>
      </c>
      <c r="AA22" s="90">
        <v>7030</v>
      </c>
      <c r="AB22" s="91">
        <v>7016</v>
      </c>
      <c r="AC22" s="89">
        <v>6966</v>
      </c>
      <c r="AD22" s="41">
        <f t="shared" si="7"/>
        <v>0.99287343215507406</v>
      </c>
      <c r="AE22" s="89">
        <v>0</v>
      </c>
      <c r="AF22" s="92">
        <v>6966</v>
      </c>
      <c r="AG22" s="91">
        <v>7455</v>
      </c>
      <c r="AH22" s="89">
        <f>5799-836</f>
        <v>4963</v>
      </c>
      <c r="AI22" s="41">
        <f t="shared" si="8"/>
        <v>0.66572769953051647</v>
      </c>
      <c r="AJ22" s="89">
        <v>0</v>
      </c>
      <c r="AK22" s="90">
        <f>3416+1547</f>
        <v>4963</v>
      </c>
      <c r="AL22" s="91">
        <f>4738+2215</f>
        <v>6953</v>
      </c>
      <c r="AM22" s="89">
        <f>3196+2112</f>
        <v>5308</v>
      </c>
      <c r="AN22" s="41">
        <f t="shared" si="9"/>
        <v>0.7634114770602618</v>
      </c>
      <c r="AO22" s="89">
        <v>0</v>
      </c>
      <c r="AP22" s="92">
        <f>3196+2112</f>
        <v>5308</v>
      </c>
      <c r="AQ22" s="93">
        <f>5365+4440</f>
        <v>9805</v>
      </c>
      <c r="AR22" s="94">
        <f>4511+3277</f>
        <v>7788</v>
      </c>
      <c r="AS22" s="41">
        <f t="shared" si="10"/>
        <v>0.79428862825089241</v>
      </c>
      <c r="AT22" s="89">
        <v>0</v>
      </c>
      <c r="AU22" s="92">
        <f>4370+3277+141</f>
        <v>7788</v>
      </c>
      <c r="AV22" s="95">
        <f>3922+3725</f>
        <v>7647</v>
      </c>
      <c r="AW22" s="96">
        <f>1720+1928+3860</f>
        <v>7508</v>
      </c>
      <c r="AX22" s="41">
        <f t="shared" si="11"/>
        <v>0.98182293709951618</v>
      </c>
      <c r="AY22" s="89">
        <v>0</v>
      </c>
      <c r="AZ22" s="92">
        <f>2179+3860+1469</f>
        <v>7508</v>
      </c>
      <c r="BA22" s="95">
        <f>3154+3192</f>
        <v>6346</v>
      </c>
      <c r="BB22" s="97">
        <f>3209+2997</f>
        <v>6206</v>
      </c>
      <c r="BC22" s="41">
        <f t="shared" si="12"/>
        <v>0.97793885912385758</v>
      </c>
      <c r="BD22" s="98">
        <v>0</v>
      </c>
      <c r="BE22" s="99">
        <f>2992+60+157+2997</f>
        <v>6206</v>
      </c>
      <c r="BF22" s="100">
        <f>24775+3416</f>
        <v>28191</v>
      </c>
      <c r="BG22" s="101">
        <f>22374+3014</f>
        <v>25388</v>
      </c>
      <c r="BH22" s="41">
        <f t="shared" si="13"/>
        <v>0.90057110425313047</v>
      </c>
      <c r="BI22" s="98"/>
      <c r="BJ22" s="102">
        <f>22374+3014</f>
        <v>25388</v>
      </c>
      <c r="BK22" s="84">
        <f t="shared" si="14"/>
        <v>111877</v>
      </c>
      <c r="BL22" s="84">
        <f t="shared" si="15"/>
        <v>94019</v>
      </c>
      <c r="BM22" s="41">
        <f t="shared" si="16"/>
        <v>0.84037827256719433</v>
      </c>
      <c r="BN22" s="84">
        <f t="shared" si="1"/>
        <v>380</v>
      </c>
      <c r="BO22" s="84">
        <f t="shared" si="1"/>
        <v>93639</v>
      </c>
    </row>
    <row r="23" spans="2:67">
      <c r="AQ23" s="58"/>
      <c r="AV23" s="60"/>
      <c r="AW23" s="61"/>
      <c r="AX23" s="62"/>
      <c r="AY23" s="62"/>
      <c r="AZ23" s="62"/>
      <c r="BA23" s="67"/>
      <c r="BB23" s="67"/>
      <c r="BC23" s="68"/>
      <c r="BD23" s="69"/>
      <c r="BE23" s="66"/>
      <c r="BF23" s="72"/>
      <c r="BG23" s="73"/>
    </row>
    <row r="24" spans="2:67">
      <c r="AV24" s="62"/>
      <c r="AW24" s="62"/>
      <c r="AX24" s="62"/>
      <c r="AY24" s="62"/>
      <c r="AZ24" s="62"/>
      <c r="BA24" s="68"/>
      <c r="BB24" s="68"/>
      <c r="BC24" s="68"/>
      <c r="BD24" s="68"/>
    </row>
    <row r="25" spans="2:67">
      <c r="AV25" s="62"/>
      <c r="AW25" s="62"/>
      <c r="AX25" s="62"/>
      <c r="AY25" s="62"/>
      <c r="AZ25" s="62"/>
      <c r="BA25" s="67"/>
      <c r="BB25" s="67"/>
      <c r="BC25" s="68"/>
      <c r="BD25" s="68"/>
    </row>
    <row r="26" spans="2:67">
      <c r="AV26" s="62"/>
      <c r="AW26" s="62"/>
      <c r="AX26" s="62"/>
      <c r="AY26" s="62"/>
      <c r="AZ26" s="63">
        <f>AW22-AZ22</f>
        <v>0</v>
      </c>
      <c r="BA26" s="68"/>
      <c r="BB26" s="68"/>
      <c r="BC26" s="68"/>
      <c r="BD26" s="68"/>
    </row>
    <row r="27" spans="2:67">
      <c r="AV27" s="64"/>
      <c r="AW27" s="62"/>
      <c r="AX27" s="62"/>
      <c r="AY27" s="62"/>
      <c r="AZ27" s="62"/>
      <c r="BA27" s="70"/>
      <c r="BB27" s="70"/>
      <c r="BC27" s="68"/>
      <c r="BD27" s="69"/>
    </row>
    <row r="28" spans="2:67">
      <c r="AV28" s="62"/>
      <c r="AW28" s="62"/>
      <c r="AX28" s="62"/>
      <c r="AY28" s="62"/>
      <c r="AZ28" s="62"/>
      <c r="BA28" s="68"/>
      <c r="BB28" s="68"/>
      <c r="BC28" s="68"/>
      <c r="BD28" s="68"/>
    </row>
    <row r="29" spans="2:67">
      <c r="AV29" s="64"/>
      <c r="AW29" s="65"/>
      <c r="AX29" s="62"/>
      <c r="AY29" s="62"/>
      <c r="AZ29" s="63"/>
      <c r="BA29" s="68"/>
      <c r="BB29" s="68"/>
      <c r="BC29" s="68"/>
      <c r="BD29" s="68"/>
    </row>
    <row r="30" spans="2:67" ht="18.75" hidden="1">
      <c r="D30" t="s">
        <v>12</v>
      </c>
      <c r="AV30" s="62"/>
      <c r="AW30" s="62"/>
      <c r="AX30" s="62"/>
      <c r="AY30" s="62"/>
      <c r="AZ30" s="62"/>
      <c r="BA30" s="68"/>
      <c r="BB30" s="71"/>
      <c r="BC30" s="68"/>
      <c r="BD30" s="68"/>
    </row>
    <row r="31" spans="2:67" ht="18.75" hidden="1">
      <c r="D31" t="s">
        <v>34</v>
      </c>
      <c r="G31" t="s">
        <v>35</v>
      </c>
      <c r="AV31" s="62"/>
      <c r="AW31" s="63"/>
      <c r="AX31" s="62"/>
      <c r="AY31" s="62"/>
      <c r="AZ31" s="62"/>
      <c r="BA31" s="68"/>
      <c r="BB31" s="71"/>
      <c r="BC31" s="68"/>
      <c r="BD31" s="68"/>
    </row>
    <row r="32" spans="2:67" ht="18.75" hidden="1">
      <c r="C32" t="s">
        <v>36</v>
      </c>
      <c r="D32" t="s">
        <v>37</v>
      </c>
      <c r="E32" t="s">
        <v>38</v>
      </c>
      <c r="F32" t="s">
        <v>39</v>
      </c>
      <c r="G32" t="s">
        <v>36</v>
      </c>
      <c r="H32" t="s">
        <v>37</v>
      </c>
      <c r="I32" t="s">
        <v>38</v>
      </c>
      <c r="J32" t="s">
        <v>39</v>
      </c>
      <c r="AV32" s="62"/>
      <c r="AW32" s="63"/>
      <c r="AX32" s="62"/>
      <c r="AY32" s="62"/>
      <c r="AZ32" s="62"/>
      <c r="BA32" s="68"/>
      <c r="BB32" s="71"/>
      <c r="BC32" s="68"/>
      <c r="BD32" s="68"/>
    </row>
    <row r="33" spans="3:52" hidden="1">
      <c r="C33">
        <v>7</v>
      </c>
      <c r="D33">
        <v>7</v>
      </c>
      <c r="E33">
        <f>10+10+10+10</f>
        <v>40</v>
      </c>
      <c r="F33">
        <f>D33*E33</f>
        <v>280</v>
      </c>
      <c r="G33">
        <v>1</v>
      </c>
      <c r="H33">
        <v>3</v>
      </c>
      <c r="I33">
        <f>4+6</f>
        <v>10</v>
      </c>
      <c r="J33">
        <f>H33*I33</f>
        <v>30</v>
      </c>
      <c r="AV33" s="62"/>
      <c r="AW33" s="62"/>
      <c r="AX33" s="62"/>
      <c r="AY33" s="62"/>
      <c r="AZ33" s="62"/>
    </row>
    <row r="34" spans="3:52" hidden="1">
      <c r="C34">
        <v>9</v>
      </c>
      <c r="D34">
        <v>3</v>
      </c>
      <c r="E34">
        <v>10</v>
      </c>
      <c r="F34">
        <f t="shared" ref="F34:F51" si="17">D34*E34</f>
        <v>30</v>
      </c>
      <c r="G34">
        <v>2</v>
      </c>
      <c r="H34">
        <v>3</v>
      </c>
      <c r="I34">
        <v>5</v>
      </c>
      <c r="J34">
        <f t="shared" ref="J34:J54" si="18">H34*I34</f>
        <v>15</v>
      </c>
      <c r="AV34" s="62"/>
      <c r="AW34" s="61"/>
      <c r="AX34" s="62"/>
      <c r="AY34" s="62"/>
      <c r="AZ34" s="62"/>
    </row>
    <row r="35" spans="3:52" hidden="1">
      <c r="C35">
        <v>11</v>
      </c>
      <c r="D35">
        <v>3</v>
      </c>
      <c r="E35">
        <f>10+11</f>
        <v>21</v>
      </c>
      <c r="F35">
        <f t="shared" si="17"/>
        <v>63</v>
      </c>
      <c r="G35">
        <v>3</v>
      </c>
      <c r="H35">
        <v>3</v>
      </c>
      <c r="I35">
        <v>5</v>
      </c>
      <c r="J35">
        <f t="shared" si="18"/>
        <v>15</v>
      </c>
      <c r="AV35" s="62"/>
      <c r="AW35" s="62"/>
      <c r="AX35" s="62"/>
      <c r="AY35" s="62"/>
      <c r="AZ35" s="62"/>
    </row>
    <row r="36" spans="3:52" hidden="1">
      <c r="C36">
        <v>12</v>
      </c>
      <c r="D36">
        <v>3</v>
      </c>
      <c r="E36">
        <f>8+10+10</f>
        <v>28</v>
      </c>
      <c r="F36">
        <f t="shared" si="17"/>
        <v>84</v>
      </c>
      <c r="G36">
        <v>5</v>
      </c>
      <c r="H36">
        <v>7</v>
      </c>
      <c r="I36">
        <f>8+6+10+17+15+15+14+14+8+7+16+20+5</f>
        <v>155</v>
      </c>
      <c r="J36">
        <f t="shared" si="18"/>
        <v>1085</v>
      </c>
      <c r="AV36" s="62"/>
      <c r="AW36" s="61"/>
      <c r="AX36" s="62"/>
      <c r="AY36" s="62"/>
      <c r="AZ36" s="62"/>
    </row>
    <row r="37" spans="3:52" hidden="1">
      <c r="C37">
        <v>14</v>
      </c>
      <c r="D37">
        <v>7</v>
      </c>
      <c r="E37">
        <f>14+18+18+18+12+16+16+15+4+18+7+17+18+21</f>
        <v>212</v>
      </c>
      <c r="F37">
        <f t="shared" si="17"/>
        <v>1484</v>
      </c>
      <c r="G37">
        <v>6</v>
      </c>
      <c r="H37">
        <v>7</v>
      </c>
      <c r="I37">
        <f>10+22+21+20+20+8+14+9+14+20</f>
        <v>158</v>
      </c>
      <c r="J37">
        <f t="shared" si="18"/>
        <v>1106</v>
      </c>
    </row>
    <row r="38" spans="3:52" hidden="1">
      <c r="C38">
        <v>15</v>
      </c>
      <c r="D38">
        <v>7</v>
      </c>
      <c r="E38">
        <v>15</v>
      </c>
      <c r="F38">
        <f t="shared" si="17"/>
        <v>105</v>
      </c>
      <c r="G38">
        <v>7</v>
      </c>
      <c r="H38">
        <v>3</v>
      </c>
      <c r="I38">
        <f>7+8+7</f>
        <v>22</v>
      </c>
      <c r="J38">
        <f t="shared" si="18"/>
        <v>66</v>
      </c>
    </row>
    <row r="39" spans="3:52" hidden="1">
      <c r="C39">
        <v>16</v>
      </c>
      <c r="D39">
        <v>3</v>
      </c>
      <c r="E39">
        <f>15+11+11+9</f>
        <v>46</v>
      </c>
      <c r="F39">
        <f t="shared" si="17"/>
        <v>138</v>
      </c>
      <c r="G39">
        <v>8</v>
      </c>
      <c r="H39">
        <v>3</v>
      </c>
      <c r="I39">
        <f>6+11+5</f>
        <v>22</v>
      </c>
      <c r="J39">
        <f t="shared" si="18"/>
        <v>66</v>
      </c>
    </row>
    <row r="40" spans="3:52" hidden="1">
      <c r="C40">
        <v>17</v>
      </c>
      <c r="D40">
        <v>3</v>
      </c>
      <c r="E40">
        <f>9+7+15+18</f>
        <v>49</v>
      </c>
      <c r="F40">
        <f t="shared" si="17"/>
        <v>147</v>
      </c>
      <c r="G40">
        <v>8</v>
      </c>
      <c r="H40">
        <v>4</v>
      </c>
      <c r="I40">
        <v>4</v>
      </c>
      <c r="J40">
        <f t="shared" si="18"/>
        <v>16</v>
      </c>
    </row>
    <row r="41" spans="3:52" hidden="1">
      <c r="C41">
        <v>18</v>
      </c>
      <c r="D41">
        <v>3</v>
      </c>
      <c r="E41">
        <f>8+18+7+5+12</f>
        <v>50</v>
      </c>
      <c r="F41">
        <f t="shared" si="17"/>
        <v>150</v>
      </c>
      <c r="G41">
        <v>9</v>
      </c>
      <c r="H41">
        <v>7</v>
      </c>
      <c r="I41">
        <f>5+21+20+18+14+3+8+2+14+20+17+20+20+7+20+18</f>
        <v>227</v>
      </c>
      <c r="J41">
        <f t="shared" si="18"/>
        <v>1589</v>
      </c>
    </row>
    <row r="42" spans="3:52" hidden="1">
      <c r="C42">
        <v>19</v>
      </c>
      <c r="D42">
        <v>3</v>
      </c>
      <c r="E42">
        <f>12+20+15+4</f>
        <v>51</v>
      </c>
      <c r="F42">
        <f t="shared" si="17"/>
        <v>153</v>
      </c>
      <c r="G42">
        <v>10</v>
      </c>
      <c r="H42">
        <v>3</v>
      </c>
      <c r="I42">
        <v>5</v>
      </c>
      <c r="J42">
        <f t="shared" si="18"/>
        <v>15</v>
      </c>
    </row>
    <row r="43" spans="3:52" hidden="1">
      <c r="C43">
        <v>20</v>
      </c>
      <c r="D43">
        <v>3</v>
      </c>
      <c r="E43">
        <v>11</v>
      </c>
      <c r="F43">
        <f t="shared" si="17"/>
        <v>33</v>
      </c>
      <c r="G43">
        <v>11</v>
      </c>
      <c r="H43">
        <v>3</v>
      </c>
      <c r="I43">
        <v>6</v>
      </c>
      <c r="J43">
        <f t="shared" si="18"/>
        <v>18</v>
      </c>
    </row>
    <row r="44" spans="3:52" hidden="1">
      <c r="C44">
        <v>21</v>
      </c>
      <c r="D44">
        <v>7</v>
      </c>
      <c r="E44">
        <f>11+20+19+10+17+17+12+4+12+14+13+5+20+8+17</f>
        <v>199</v>
      </c>
      <c r="F44">
        <f t="shared" si="17"/>
        <v>1393</v>
      </c>
      <c r="G44">
        <v>12</v>
      </c>
      <c r="H44">
        <v>7</v>
      </c>
      <c r="I44">
        <f>10+9+18+20+20+13+20+11+20+16+21+22+21+14</f>
        <v>235</v>
      </c>
      <c r="J44">
        <f t="shared" si="18"/>
        <v>1645</v>
      </c>
    </row>
    <row r="45" spans="3:52" hidden="1">
      <c r="C45">
        <v>22</v>
      </c>
      <c r="D45">
        <v>7</v>
      </c>
      <c r="E45">
        <v>7</v>
      </c>
      <c r="F45">
        <f t="shared" si="17"/>
        <v>49</v>
      </c>
      <c r="G45">
        <v>13</v>
      </c>
      <c r="H45">
        <v>7</v>
      </c>
      <c r="I45">
        <f>21+39+45+13+21+21+20</f>
        <v>180</v>
      </c>
      <c r="J45">
        <f t="shared" si="18"/>
        <v>1260</v>
      </c>
    </row>
    <row r="46" spans="3:52" hidden="1">
      <c r="C46">
        <v>23</v>
      </c>
      <c r="D46">
        <v>3</v>
      </c>
      <c r="E46">
        <v>14</v>
      </c>
      <c r="F46">
        <f t="shared" si="17"/>
        <v>42</v>
      </c>
      <c r="G46">
        <v>14</v>
      </c>
      <c r="H46">
        <v>3</v>
      </c>
      <c r="I46">
        <f>14+20+12+1+20</f>
        <v>67</v>
      </c>
      <c r="J46">
        <f t="shared" si="18"/>
        <v>201</v>
      </c>
    </row>
    <row r="47" spans="3:52" hidden="1">
      <c r="C47">
        <v>24</v>
      </c>
      <c r="D47">
        <v>3</v>
      </c>
      <c r="E47">
        <v>7</v>
      </c>
      <c r="F47">
        <f t="shared" si="17"/>
        <v>21</v>
      </c>
      <c r="G47">
        <v>15</v>
      </c>
      <c r="H47">
        <v>3</v>
      </c>
      <c r="I47">
        <v>20</v>
      </c>
      <c r="J47">
        <f t="shared" si="18"/>
        <v>60</v>
      </c>
    </row>
    <row r="48" spans="3:52" hidden="1">
      <c r="C48">
        <v>26</v>
      </c>
      <c r="D48">
        <v>3</v>
      </c>
      <c r="E48">
        <v>7</v>
      </c>
      <c r="F48">
        <f t="shared" si="17"/>
        <v>21</v>
      </c>
      <c r="G48">
        <v>16</v>
      </c>
      <c r="H48">
        <v>3</v>
      </c>
      <c r="I48">
        <v>4</v>
      </c>
      <c r="J48">
        <f t="shared" si="18"/>
        <v>12</v>
      </c>
    </row>
    <row r="49" spans="3:10" hidden="1">
      <c r="C49">
        <v>28</v>
      </c>
      <c r="D49">
        <v>7</v>
      </c>
      <c r="E49">
        <f>7+4+9+8+8+15+20+20+9+20+21+21+17+18+11+12+3+15+14+6</f>
        <v>258</v>
      </c>
      <c r="F49">
        <f t="shared" si="17"/>
        <v>1806</v>
      </c>
      <c r="G49">
        <v>17</v>
      </c>
      <c r="H49">
        <v>3</v>
      </c>
      <c r="I49">
        <f>13+9</f>
        <v>22</v>
      </c>
      <c r="J49">
        <f t="shared" si="18"/>
        <v>66</v>
      </c>
    </row>
    <row r="50" spans="3:10" hidden="1">
      <c r="C50">
        <v>29</v>
      </c>
      <c r="D50">
        <v>7</v>
      </c>
      <c r="E50">
        <f>20+19+11</f>
        <v>50</v>
      </c>
      <c r="F50">
        <f t="shared" si="17"/>
        <v>350</v>
      </c>
      <c r="G50">
        <v>19</v>
      </c>
      <c r="H50">
        <v>7</v>
      </c>
      <c r="I50">
        <f>12+17+20+16+20+20+7+8+16+11+9+6+21+20</f>
        <v>203</v>
      </c>
      <c r="J50">
        <f t="shared" si="18"/>
        <v>1421</v>
      </c>
    </row>
    <row r="51" spans="3:10" hidden="1">
      <c r="C51">
        <v>30</v>
      </c>
      <c r="D51">
        <v>3</v>
      </c>
      <c r="E51">
        <v>9</v>
      </c>
      <c r="F51">
        <f t="shared" si="17"/>
        <v>27</v>
      </c>
      <c r="G51">
        <v>20</v>
      </c>
      <c r="H51">
        <v>7</v>
      </c>
      <c r="I51">
        <v>10</v>
      </c>
      <c r="J51">
        <f t="shared" si="18"/>
        <v>70</v>
      </c>
    </row>
    <row r="52" spans="3:10" hidden="1">
      <c r="F52">
        <f>SUM(F33:F51)</f>
        <v>6376</v>
      </c>
      <c r="G52">
        <v>21</v>
      </c>
      <c r="H52">
        <v>3</v>
      </c>
      <c r="I52">
        <f>8+2</f>
        <v>10</v>
      </c>
      <c r="J52">
        <f t="shared" si="18"/>
        <v>30</v>
      </c>
    </row>
    <row r="53" spans="3:10" hidden="1">
      <c r="G53">
        <v>22</v>
      </c>
      <c r="H53">
        <v>3</v>
      </c>
      <c r="I53">
        <f>4+5</f>
        <v>9</v>
      </c>
      <c r="J53">
        <f t="shared" si="18"/>
        <v>27</v>
      </c>
    </row>
    <row r="54" spans="3:10" hidden="1">
      <c r="G54">
        <v>26</v>
      </c>
      <c r="H54">
        <v>7</v>
      </c>
      <c r="I54">
        <f>28+14+10+20+17+20+10+10+10+8+17+20+5</f>
        <v>189</v>
      </c>
      <c r="J54">
        <f t="shared" si="18"/>
        <v>1323</v>
      </c>
    </row>
    <row r="55" spans="3:10" hidden="1">
      <c r="J55">
        <f>SUM(J33:J54)</f>
        <v>10136</v>
      </c>
    </row>
  </sheetData>
  <mergeCells count="16">
    <mergeCell ref="BK14:BO14"/>
    <mergeCell ref="AV14:AZ14"/>
    <mergeCell ref="BA14:BE14"/>
    <mergeCell ref="BF14:BJ14"/>
    <mergeCell ref="AQ14:AU14"/>
    <mergeCell ref="B3:B4"/>
    <mergeCell ref="C3:P3"/>
    <mergeCell ref="B14:B15"/>
    <mergeCell ref="C14:G14"/>
    <mergeCell ref="H14:L14"/>
    <mergeCell ref="M14:Q14"/>
    <mergeCell ref="R14:V14"/>
    <mergeCell ref="W14:AA14"/>
    <mergeCell ref="AB14:AF14"/>
    <mergeCell ref="AG14:AK14"/>
    <mergeCell ref="AL14:AP14"/>
  </mergeCells>
  <conditionalFormatting sqref="AQ16">
    <cfRule type="expression" dxfId="18" priority="26" stopIfTrue="1">
      <formula>AQ16&lt;0</formula>
    </cfRule>
  </conditionalFormatting>
  <conditionalFormatting sqref="AR16">
    <cfRule type="expression" dxfId="17" priority="25" stopIfTrue="1">
      <formula>AR16&lt;0</formula>
    </cfRule>
  </conditionalFormatting>
  <conditionalFormatting sqref="AR17">
    <cfRule type="expression" dxfId="16" priority="24" stopIfTrue="1">
      <formula>AR17&lt;0</formula>
    </cfRule>
  </conditionalFormatting>
  <conditionalFormatting sqref="AR18">
    <cfRule type="expression" dxfId="15" priority="23" stopIfTrue="1">
      <formula>AR18&lt;0</formula>
    </cfRule>
  </conditionalFormatting>
  <conditionalFormatting sqref="AR19">
    <cfRule type="expression" dxfId="14" priority="22" stopIfTrue="1">
      <formula>AR19&lt;0</formula>
    </cfRule>
  </conditionalFormatting>
  <conditionalFormatting sqref="AR20">
    <cfRule type="expression" dxfId="13" priority="21" stopIfTrue="1">
      <formula>AR20&lt;0</formula>
    </cfRule>
  </conditionalFormatting>
  <conditionalFormatting sqref="AR22">
    <cfRule type="expression" dxfId="12" priority="20" stopIfTrue="1">
      <formula>AR22&lt;0</formula>
    </cfRule>
  </conditionalFormatting>
  <conditionalFormatting sqref="BA27">
    <cfRule type="expression" dxfId="11" priority="19" stopIfTrue="1">
      <formula>BA27&lt;0</formula>
    </cfRule>
  </conditionalFormatting>
  <conditionalFormatting sqref="BB16">
    <cfRule type="expression" dxfId="10" priority="18" stopIfTrue="1">
      <formula>"#ref!"&lt;0</formula>
    </cfRule>
  </conditionalFormatting>
  <conditionalFormatting sqref="BB17">
    <cfRule type="expression" dxfId="9" priority="17" stopIfTrue="1">
      <formula>"#ref!"&lt;0</formula>
    </cfRule>
  </conditionalFormatting>
  <conditionalFormatting sqref="BB18">
    <cfRule type="expression" dxfId="8" priority="16" stopIfTrue="1">
      <formula>"#ref!"&lt;0</formula>
    </cfRule>
  </conditionalFormatting>
  <conditionalFormatting sqref="BB19">
    <cfRule type="expression" dxfId="7" priority="15" stopIfTrue="1">
      <formula>"#ref!"&lt;0</formula>
    </cfRule>
  </conditionalFormatting>
  <conditionalFormatting sqref="BB20">
    <cfRule type="expression" dxfId="6" priority="14" stopIfTrue="1">
      <formula>"#ref!"&lt;0</formula>
    </cfRule>
  </conditionalFormatting>
  <conditionalFormatting sqref="BB22">
    <cfRule type="expression" dxfId="5" priority="13" stopIfTrue="1">
      <formula>"#ref!"&lt;0</formula>
    </cfRule>
  </conditionalFormatting>
  <conditionalFormatting sqref="BB27">
    <cfRule type="expression" dxfId="4" priority="11" stopIfTrue="1">
      <formula>BB27&lt;0</formula>
    </cfRule>
  </conditionalFormatting>
  <conditionalFormatting sqref="BB30">
    <cfRule type="expression" dxfId="3" priority="10" stopIfTrue="1">
      <formula>BB30&lt;0</formula>
    </cfRule>
  </conditionalFormatting>
  <conditionalFormatting sqref="BB30">
    <cfRule type="expression" dxfId="2" priority="9" stopIfTrue="1">
      <formula>"#ref!"&lt;0</formula>
    </cfRule>
  </conditionalFormatting>
  <conditionalFormatting sqref="BB31:BB32">
    <cfRule type="expression" dxfId="1" priority="8" stopIfTrue="1">
      <formula>BB31&lt;0</formula>
    </cfRule>
  </conditionalFormatting>
  <conditionalFormatting sqref="BB31:BB32">
    <cfRule type="expression" dxfId="0" priority="7" stopIfTrue="1">
      <formula>"#ref!"&lt;0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</dc:creator>
  <cp:lastModifiedBy>adm.prd</cp:lastModifiedBy>
  <dcterms:created xsi:type="dcterms:W3CDTF">2021-01-10T05:44:10Z</dcterms:created>
  <dcterms:modified xsi:type="dcterms:W3CDTF">2021-03-24T03:49:53Z</dcterms:modified>
</cp:coreProperties>
</file>