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8"/>
  </bookViews>
  <sheets>
    <sheet name="Jan" sheetId="1" r:id="rId1"/>
    <sheet name="Feb" sheetId="2" r:id="rId2"/>
    <sheet name="Mar" sheetId="3" r:id="rId3"/>
    <sheet name="April" sheetId="4" r:id="rId4"/>
    <sheet name="Mei" sheetId="5" r:id="rId5"/>
    <sheet name="Juni" sheetId="6" r:id="rId6"/>
    <sheet name="Juli" sheetId="7" r:id="rId7"/>
    <sheet name="Agt" sheetId="8" r:id="rId8"/>
    <sheet name="Sept" sheetId="9" r:id="rId9"/>
  </sheets>
  <calcPr calcId="144525"/>
</workbook>
</file>

<file path=xl/calcChain.xml><?xml version="1.0" encoding="utf-8"?>
<calcChain xmlns="http://schemas.openxmlformats.org/spreadsheetml/2006/main">
  <c r="K98" i="9" l="1"/>
  <c r="K96" i="9"/>
  <c r="K99" i="9" s="1"/>
  <c r="J95" i="9"/>
  <c r="K86" i="9"/>
  <c r="J86" i="9"/>
  <c r="J98" i="9" s="1"/>
  <c r="D86" i="9"/>
  <c r="D91" i="9" s="1"/>
  <c r="C86" i="9"/>
  <c r="C91" i="9" s="1"/>
  <c r="N84" i="9"/>
  <c r="M84" i="9"/>
  <c r="E84" i="9"/>
  <c r="H82" i="9"/>
  <c r="G82" i="9"/>
  <c r="F82" i="9"/>
  <c r="E82" i="9"/>
  <c r="N81" i="9"/>
  <c r="M81" i="9"/>
  <c r="E81" i="9"/>
  <c r="H80" i="9"/>
  <c r="N80" i="9" s="1"/>
  <c r="G80" i="9"/>
  <c r="M80" i="9" s="1"/>
  <c r="F80" i="9"/>
  <c r="E80" i="9"/>
  <c r="N79" i="9"/>
  <c r="M79" i="9"/>
  <c r="E79" i="9"/>
  <c r="A79" i="9"/>
  <c r="A80" i="9" s="1"/>
  <c r="A81" i="9" s="1"/>
  <c r="A84" i="9" s="1"/>
  <c r="N78" i="9"/>
  <c r="M78" i="9"/>
  <c r="E78" i="9"/>
  <c r="N76" i="9"/>
  <c r="M76" i="9"/>
  <c r="N75" i="9"/>
  <c r="M75" i="9"/>
  <c r="E75" i="9"/>
  <c r="N74" i="9"/>
  <c r="M74" i="9"/>
  <c r="E74" i="9"/>
  <c r="H73" i="9"/>
  <c r="N73" i="9" s="1"/>
  <c r="G73" i="9"/>
  <c r="G86" i="9" s="1"/>
  <c r="F73" i="9"/>
  <c r="E73" i="9"/>
  <c r="N72" i="9"/>
  <c r="H72" i="9"/>
  <c r="G72" i="9"/>
  <c r="M72" i="9" s="1"/>
  <c r="F72" i="9"/>
  <c r="E72" i="9"/>
  <c r="N71" i="9"/>
  <c r="M71" i="9"/>
  <c r="E71" i="9"/>
  <c r="A71" i="9"/>
  <c r="A72" i="9" s="1"/>
  <c r="A73" i="9" s="1"/>
  <c r="A74" i="9" s="1"/>
  <c r="A75" i="9" s="1"/>
  <c r="N70" i="9"/>
  <c r="M70" i="9"/>
  <c r="H70" i="9"/>
  <c r="G70" i="9"/>
  <c r="F70" i="9"/>
  <c r="F86" i="9" s="1"/>
  <c r="F91" i="9" s="1"/>
  <c r="E70" i="9"/>
  <c r="E86" i="9" s="1"/>
  <c r="E91" i="9" s="1"/>
  <c r="K66" i="9"/>
  <c r="K97" i="9" s="1"/>
  <c r="J66" i="9"/>
  <c r="J97" i="9" s="1"/>
  <c r="D66" i="9"/>
  <c r="C66" i="9"/>
  <c r="N64" i="9"/>
  <c r="M64" i="9"/>
  <c r="H64" i="9"/>
  <c r="G64" i="9"/>
  <c r="F64" i="9"/>
  <c r="E64" i="9"/>
  <c r="N63" i="9"/>
  <c r="M63" i="9"/>
  <c r="E63" i="9"/>
  <c r="N62" i="9"/>
  <c r="M62" i="9"/>
  <c r="E62" i="9"/>
  <c r="H61" i="9"/>
  <c r="N61" i="9" s="1"/>
  <c r="G61" i="9"/>
  <c r="M61" i="9" s="1"/>
  <c r="F61" i="9"/>
  <c r="E61" i="9"/>
  <c r="N60" i="9"/>
  <c r="H60" i="9"/>
  <c r="G60" i="9"/>
  <c r="M60" i="9" s="1"/>
  <c r="F60" i="9"/>
  <c r="E60" i="9"/>
  <c r="N59" i="9"/>
  <c r="M59" i="9"/>
  <c r="H59" i="9"/>
  <c r="G59" i="9"/>
  <c r="F59" i="9"/>
  <c r="F66" i="9" s="1"/>
  <c r="E59" i="9"/>
  <c r="E66" i="9" s="1"/>
  <c r="A59" i="9"/>
  <c r="A60" i="9" s="1"/>
  <c r="A61" i="9" s="1"/>
  <c r="A62" i="9" s="1"/>
  <c r="A63" i="9" s="1"/>
  <c r="M58" i="9"/>
  <c r="H58" i="9"/>
  <c r="H66" i="9" s="1"/>
  <c r="G58" i="9"/>
  <c r="G66" i="9" s="1"/>
  <c r="F58" i="9"/>
  <c r="E58" i="9"/>
  <c r="K54" i="9"/>
  <c r="J54" i="9"/>
  <c r="D54" i="9"/>
  <c r="C54" i="9"/>
  <c r="M52" i="9"/>
  <c r="H52" i="9"/>
  <c r="N52" i="9" s="1"/>
  <c r="G52" i="9"/>
  <c r="F52" i="9"/>
  <c r="E52" i="9"/>
  <c r="H51" i="9"/>
  <c r="G51" i="9"/>
  <c r="F51" i="9"/>
  <c r="E51" i="9"/>
  <c r="N50" i="9"/>
  <c r="H50" i="9"/>
  <c r="G50" i="9"/>
  <c r="M50" i="9" s="1"/>
  <c r="F50" i="9"/>
  <c r="E50" i="9"/>
  <c r="M49" i="9"/>
  <c r="H49" i="9"/>
  <c r="N49" i="9" s="1"/>
  <c r="G49" i="9"/>
  <c r="F49" i="9"/>
  <c r="E49" i="9"/>
  <c r="N48" i="9"/>
  <c r="H48" i="9"/>
  <c r="G48" i="9"/>
  <c r="M48" i="9" s="1"/>
  <c r="F48" i="9"/>
  <c r="E48" i="9"/>
  <c r="M47" i="9"/>
  <c r="H47" i="9"/>
  <c r="H54" i="9" s="1"/>
  <c r="N54" i="9" s="1"/>
  <c r="G47" i="9"/>
  <c r="G54" i="9" s="1"/>
  <c r="M54" i="9" s="1"/>
  <c r="F47" i="9"/>
  <c r="F54" i="9" s="1"/>
  <c r="E47" i="9"/>
  <c r="E54" i="9" s="1"/>
  <c r="K43" i="9"/>
  <c r="J43" i="9"/>
  <c r="J96" i="9" s="1"/>
  <c r="J99" i="9" s="1"/>
  <c r="D43" i="9"/>
  <c r="C43" i="9"/>
  <c r="N41" i="9"/>
  <c r="M41" i="9"/>
  <c r="E41" i="9"/>
  <c r="M40" i="9"/>
  <c r="H40" i="9"/>
  <c r="N40" i="9" s="1"/>
  <c r="G40" i="9"/>
  <c r="F40" i="9"/>
  <c r="E40" i="9"/>
  <c r="H39" i="9"/>
  <c r="N39" i="9" s="1"/>
  <c r="G39" i="9"/>
  <c r="M39" i="9" s="1"/>
  <c r="F39" i="9"/>
  <c r="E39" i="9"/>
  <c r="N38" i="9"/>
  <c r="H38" i="9"/>
  <c r="G38" i="9"/>
  <c r="M38" i="9" s="1"/>
  <c r="F38" i="9"/>
  <c r="E38" i="9"/>
  <c r="N37" i="9"/>
  <c r="M37" i="9"/>
  <c r="H37" i="9"/>
  <c r="G37" i="9"/>
  <c r="F37" i="9"/>
  <c r="E37" i="9"/>
  <c r="M36" i="9"/>
  <c r="H36" i="9"/>
  <c r="N36" i="9" s="1"/>
  <c r="G36" i="9"/>
  <c r="F36" i="9"/>
  <c r="E36" i="9"/>
  <c r="H35" i="9"/>
  <c r="N35" i="9" s="1"/>
  <c r="G35" i="9"/>
  <c r="M35" i="9" s="1"/>
  <c r="F35" i="9"/>
  <c r="E35" i="9"/>
  <c r="N34" i="9"/>
  <c r="H34" i="9"/>
  <c r="G34" i="9"/>
  <c r="M34" i="9" s="1"/>
  <c r="F34" i="9"/>
  <c r="E34" i="9"/>
  <c r="H33" i="9"/>
  <c r="G33" i="9"/>
  <c r="F33" i="9"/>
  <c r="E33" i="9"/>
  <c r="A33" i="9"/>
  <c r="A34" i="9" s="1"/>
  <c r="A35" i="9" s="1"/>
  <c r="A36" i="9" s="1"/>
  <c r="A37" i="9" s="1"/>
  <c r="A38" i="9" s="1"/>
  <c r="A39" i="9" s="1"/>
  <c r="A40" i="9" s="1"/>
  <c r="A41" i="9" s="1"/>
  <c r="N32" i="9"/>
  <c r="H32" i="9"/>
  <c r="G32" i="9"/>
  <c r="M32" i="9" s="1"/>
  <c r="F32" i="9"/>
  <c r="E32" i="9"/>
  <c r="A32" i="9"/>
  <c r="N31" i="9"/>
  <c r="M31" i="9"/>
  <c r="H31" i="9"/>
  <c r="G31" i="9"/>
  <c r="F31" i="9"/>
  <c r="E31" i="9"/>
  <c r="H30" i="9"/>
  <c r="G30" i="9"/>
  <c r="F30" i="9"/>
  <c r="N28" i="9"/>
  <c r="M28" i="9"/>
  <c r="E28" i="9"/>
  <c r="N27" i="9"/>
  <c r="H27" i="9"/>
  <c r="G27" i="9"/>
  <c r="M27" i="9" s="1"/>
  <c r="F27" i="9"/>
  <c r="E27" i="9"/>
  <c r="N26" i="9"/>
  <c r="M26" i="9"/>
  <c r="H26" i="9"/>
  <c r="G26" i="9"/>
  <c r="F26" i="9"/>
  <c r="E26" i="9"/>
  <c r="M25" i="9"/>
  <c r="H25" i="9"/>
  <c r="N25" i="9" s="1"/>
  <c r="G25" i="9"/>
  <c r="F25" i="9"/>
  <c r="E25" i="9"/>
  <c r="H24" i="9"/>
  <c r="N24" i="9" s="1"/>
  <c r="G24" i="9"/>
  <c r="M24" i="9" s="1"/>
  <c r="F24" i="9"/>
  <c r="E24" i="9"/>
  <c r="N23" i="9"/>
  <c r="H23" i="9"/>
  <c r="G23" i="9"/>
  <c r="M23" i="9" s="1"/>
  <c r="F23" i="9"/>
  <c r="E23" i="9"/>
  <c r="N22" i="9"/>
  <c r="M22" i="9"/>
  <c r="H22" i="9"/>
  <c r="G22" i="9"/>
  <c r="F22" i="9"/>
  <c r="E22" i="9"/>
  <c r="M21" i="9"/>
  <c r="H21" i="9"/>
  <c r="H43" i="9" s="1"/>
  <c r="G21" i="9"/>
  <c r="F21" i="9"/>
  <c r="E21" i="9"/>
  <c r="H20" i="9"/>
  <c r="N20" i="9" s="1"/>
  <c r="G20" i="9"/>
  <c r="M20" i="9" s="1"/>
  <c r="F20" i="9"/>
  <c r="E20" i="9"/>
  <c r="N19" i="9"/>
  <c r="H19" i="9"/>
  <c r="G19" i="9"/>
  <c r="M19" i="9" s="1"/>
  <c r="F19" i="9"/>
  <c r="E19" i="9"/>
  <c r="N18" i="9"/>
  <c r="M18" i="9"/>
  <c r="H18" i="9"/>
  <c r="G18" i="9"/>
  <c r="F18" i="9"/>
  <c r="E18" i="9"/>
  <c r="E17" i="9"/>
  <c r="N16" i="9"/>
  <c r="H16" i="9"/>
  <c r="G16" i="9"/>
  <c r="M16" i="9" s="1"/>
  <c r="F16" i="9"/>
  <c r="E16" i="9"/>
  <c r="N15" i="9"/>
  <c r="M15" i="9"/>
  <c r="E15" i="9"/>
  <c r="N14" i="9"/>
  <c r="M14" i="9"/>
  <c r="E14" i="9"/>
  <c r="N13" i="9"/>
  <c r="M13" i="9"/>
  <c r="E13" i="9"/>
  <c r="N12" i="9"/>
  <c r="M12" i="9"/>
  <c r="H12" i="9"/>
  <c r="G12" i="9"/>
  <c r="E12" i="9"/>
  <c r="A12" i="9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H11" i="9"/>
  <c r="N11" i="9" s="1"/>
  <c r="G11" i="9"/>
  <c r="M11" i="9" s="1"/>
  <c r="F11" i="9"/>
  <c r="E11" i="9"/>
  <c r="A11" i="9"/>
  <c r="N10" i="9"/>
  <c r="H10" i="9"/>
  <c r="G10" i="9"/>
  <c r="M10" i="9" s="1"/>
  <c r="F10" i="9"/>
  <c r="E10" i="9"/>
  <c r="A10" i="9"/>
  <c r="N9" i="9"/>
  <c r="M9" i="9"/>
  <c r="H9" i="9"/>
  <c r="G9" i="9"/>
  <c r="G43" i="9" s="1"/>
  <c r="F9" i="9"/>
  <c r="F43" i="9" s="1"/>
  <c r="E9" i="9"/>
  <c r="E43" i="9" s="1"/>
  <c r="H96" i="9" l="1"/>
  <c r="N43" i="9"/>
  <c r="G98" i="9"/>
  <c r="M98" i="9" s="1"/>
  <c r="M86" i="9"/>
  <c r="G91" i="9"/>
  <c r="M43" i="9"/>
  <c r="G96" i="9"/>
  <c r="G97" i="9"/>
  <c r="M97" i="9" s="1"/>
  <c r="M66" i="9"/>
  <c r="N66" i="9"/>
  <c r="H97" i="9"/>
  <c r="N97" i="9" s="1"/>
  <c r="H86" i="9"/>
  <c r="K91" i="9"/>
  <c r="N21" i="9"/>
  <c r="N47" i="9"/>
  <c r="N58" i="9"/>
  <c r="M73" i="9"/>
  <c r="J91" i="9"/>
  <c r="H91" i="9" l="1"/>
  <c r="N91" i="9" s="1"/>
  <c r="N86" i="9"/>
  <c r="H98" i="9"/>
  <c r="N98" i="9" s="1"/>
  <c r="G99" i="9"/>
  <c r="M99" i="9" s="1"/>
  <c r="M96" i="9"/>
  <c r="M91" i="9"/>
  <c r="N96" i="9"/>
  <c r="H99" i="9" l="1"/>
  <c r="N99" i="9" s="1"/>
  <c r="K97" i="8" l="1"/>
  <c r="J97" i="8"/>
  <c r="J95" i="8"/>
  <c r="H87" i="8"/>
  <c r="G87" i="8"/>
  <c r="K86" i="8"/>
  <c r="K98" i="8" s="1"/>
  <c r="J86" i="8"/>
  <c r="J91" i="8" s="1"/>
  <c r="D86" i="8"/>
  <c r="D91" i="8" s="1"/>
  <c r="C86" i="8"/>
  <c r="N84" i="8"/>
  <c r="M84" i="8"/>
  <c r="E84" i="8"/>
  <c r="H82" i="8"/>
  <c r="G82" i="8"/>
  <c r="M78" i="8" s="1"/>
  <c r="F82" i="8"/>
  <c r="E82" i="8"/>
  <c r="N81" i="8"/>
  <c r="M81" i="8"/>
  <c r="E81" i="8"/>
  <c r="M80" i="8"/>
  <c r="H80" i="8"/>
  <c r="N80" i="8" s="1"/>
  <c r="G80" i="8"/>
  <c r="F80" i="8"/>
  <c r="E80" i="8"/>
  <c r="N79" i="8"/>
  <c r="M79" i="8"/>
  <c r="E79" i="8"/>
  <c r="A79" i="8"/>
  <c r="A80" i="8" s="1"/>
  <c r="A81" i="8" s="1"/>
  <c r="A84" i="8" s="1"/>
  <c r="N78" i="8"/>
  <c r="E78" i="8"/>
  <c r="H77" i="8"/>
  <c r="N75" i="8" s="1"/>
  <c r="G77" i="8"/>
  <c r="M75" i="8" s="1"/>
  <c r="F77" i="8"/>
  <c r="M76" i="8"/>
  <c r="E75" i="8"/>
  <c r="N74" i="8"/>
  <c r="M74" i="8"/>
  <c r="E74" i="8"/>
  <c r="N73" i="8"/>
  <c r="M73" i="8"/>
  <c r="E73" i="8"/>
  <c r="N72" i="8"/>
  <c r="M72" i="8"/>
  <c r="E72" i="8"/>
  <c r="N71" i="8"/>
  <c r="M71" i="8"/>
  <c r="E71" i="8"/>
  <c r="E86" i="8" s="1"/>
  <c r="E91" i="8" s="1"/>
  <c r="A71" i="8"/>
  <c r="A72" i="8" s="1"/>
  <c r="A73" i="8" s="1"/>
  <c r="A74" i="8" s="1"/>
  <c r="A75" i="8" s="1"/>
  <c r="H70" i="8"/>
  <c r="N70" i="8" s="1"/>
  <c r="G70" i="8"/>
  <c r="G86" i="8" s="1"/>
  <c r="F70" i="8"/>
  <c r="F86" i="8" s="1"/>
  <c r="F91" i="8" s="1"/>
  <c r="E70" i="8"/>
  <c r="H67" i="8"/>
  <c r="G67" i="8"/>
  <c r="K66" i="8"/>
  <c r="J66" i="8"/>
  <c r="D66" i="8"/>
  <c r="C66" i="8"/>
  <c r="C91" i="8" s="1"/>
  <c r="H64" i="8"/>
  <c r="N64" i="8" s="1"/>
  <c r="G64" i="8"/>
  <c r="M64" i="8" s="1"/>
  <c r="F64" i="8"/>
  <c r="E64" i="8"/>
  <c r="N63" i="8"/>
  <c r="M63" i="8"/>
  <c r="E63" i="8"/>
  <c r="N62" i="8"/>
  <c r="M62" i="8"/>
  <c r="E62" i="8"/>
  <c r="N61" i="8"/>
  <c r="M61" i="8"/>
  <c r="H61" i="8"/>
  <c r="G61" i="8"/>
  <c r="F61" i="8"/>
  <c r="E61" i="8"/>
  <c r="M60" i="8"/>
  <c r="H60" i="8"/>
  <c r="N60" i="8" s="1"/>
  <c r="G60" i="8"/>
  <c r="F60" i="8"/>
  <c r="E60" i="8"/>
  <c r="A60" i="8"/>
  <c r="A61" i="8" s="1"/>
  <c r="A62" i="8" s="1"/>
  <c r="A63" i="8" s="1"/>
  <c r="H59" i="8"/>
  <c r="N59" i="8" s="1"/>
  <c r="G59" i="8"/>
  <c r="G66" i="8" s="1"/>
  <c r="F59" i="8"/>
  <c r="E59" i="8"/>
  <c r="A59" i="8"/>
  <c r="N58" i="8"/>
  <c r="H58" i="8"/>
  <c r="G58" i="8"/>
  <c r="M58" i="8" s="1"/>
  <c r="F58" i="8"/>
  <c r="F66" i="8" s="1"/>
  <c r="E58" i="8"/>
  <c r="E66" i="8" s="1"/>
  <c r="H55" i="8"/>
  <c r="G55" i="8"/>
  <c r="K54" i="8"/>
  <c r="K91" i="8" s="1"/>
  <c r="J54" i="8"/>
  <c r="D54" i="8"/>
  <c r="C54" i="8"/>
  <c r="N52" i="8"/>
  <c r="H52" i="8"/>
  <c r="G52" i="8"/>
  <c r="M52" i="8" s="1"/>
  <c r="F52" i="8"/>
  <c r="E52" i="8"/>
  <c r="H51" i="8"/>
  <c r="G51" i="8"/>
  <c r="F51" i="8"/>
  <c r="E51" i="8"/>
  <c r="M50" i="8"/>
  <c r="H50" i="8"/>
  <c r="N50" i="8" s="1"/>
  <c r="G50" i="8"/>
  <c r="F50" i="8"/>
  <c r="E50" i="8"/>
  <c r="N49" i="8"/>
  <c r="H49" i="8"/>
  <c r="G49" i="8"/>
  <c r="M49" i="8" s="1"/>
  <c r="F49" i="8"/>
  <c r="E49" i="8"/>
  <c r="M48" i="8"/>
  <c r="H48" i="8"/>
  <c r="N48" i="8" s="1"/>
  <c r="G48" i="8"/>
  <c r="F48" i="8"/>
  <c r="E48" i="8"/>
  <c r="N47" i="8"/>
  <c r="H47" i="8"/>
  <c r="H54" i="8" s="1"/>
  <c r="G47" i="8"/>
  <c r="M47" i="8" s="1"/>
  <c r="F47" i="8"/>
  <c r="F54" i="8" s="1"/>
  <c r="E47" i="8"/>
  <c r="E54" i="8" s="1"/>
  <c r="H44" i="8"/>
  <c r="G44" i="8"/>
  <c r="K43" i="8"/>
  <c r="K96" i="8" s="1"/>
  <c r="J43" i="8"/>
  <c r="J96" i="8" s="1"/>
  <c r="D43" i="8"/>
  <c r="C43" i="8"/>
  <c r="N41" i="8"/>
  <c r="M41" i="8"/>
  <c r="E41" i="8"/>
  <c r="N40" i="8"/>
  <c r="H40" i="8"/>
  <c r="G40" i="8"/>
  <c r="M40" i="8" s="1"/>
  <c r="F40" i="8"/>
  <c r="E40" i="8"/>
  <c r="N39" i="8"/>
  <c r="M39" i="8"/>
  <c r="H39" i="8"/>
  <c r="G39" i="8"/>
  <c r="F39" i="8"/>
  <c r="E39" i="8"/>
  <c r="M38" i="8"/>
  <c r="H38" i="8"/>
  <c r="N38" i="8" s="1"/>
  <c r="G38" i="8"/>
  <c r="F38" i="8"/>
  <c r="E38" i="8"/>
  <c r="H37" i="8"/>
  <c r="N37" i="8" s="1"/>
  <c r="G37" i="8"/>
  <c r="M37" i="8" s="1"/>
  <c r="E37" i="8"/>
  <c r="N36" i="8"/>
  <c r="M36" i="8"/>
  <c r="H36" i="8"/>
  <c r="G36" i="8"/>
  <c r="F36" i="8"/>
  <c r="E36" i="8"/>
  <c r="N35" i="8"/>
  <c r="M35" i="8"/>
  <c r="E35" i="8"/>
  <c r="M34" i="8"/>
  <c r="H34" i="8"/>
  <c r="N34" i="8" s="1"/>
  <c r="G34" i="8"/>
  <c r="F34" i="8"/>
  <c r="E34" i="8"/>
  <c r="H33" i="8"/>
  <c r="G33" i="8"/>
  <c r="F33" i="8"/>
  <c r="E33" i="8"/>
  <c r="M32" i="8"/>
  <c r="H32" i="8"/>
  <c r="N32" i="8" s="1"/>
  <c r="G32" i="8"/>
  <c r="F32" i="8"/>
  <c r="E32" i="8"/>
  <c r="A32" i="8"/>
  <c r="A33" i="8" s="1"/>
  <c r="A34" i="8" s="1"/>
  <c r="A35" i="8" s="1"/>
  <c r="A36" i="8" s="1"/>
  <c r="A37" i="8" s="1"/>
  <c r="A38" i="8" s="1"/>
  <c r="A39" i="8" s="1"/>
  <c r="A40" i="8" s="1"/>
  <c r="A41" i="8" s="1"/>
  <c r="H31" i="8"/>
  <c r="N31" i="8" s="1"/>
  <c r="G31" i="8"/>
  <c r="M31" i="8" s="1"/>
  <c r="F31" i="8"/>
  <c r="E31" i="8"/>
  <c r="H30" i="8"/>
  <c r="N28" i="8" s="1"/>
  <c r="G30" i="8"/>
  <c r="M28" i="8" s="1"/>
  <c r="F30" i="8"/>
  <c r="E28" i="8"/>
  <c r="M27" i="8"/>
  <c r="H27" i="8"/>
  <c r="N27" i="8" s="1"/>
  <c r="G27" i="8"/>
  <c r="F27" i="8"/>
  <c r="E27" i="8"/>
  <c r="H26" i="8"/>
  <c r="N26" i="8" s="1"/>
  <c r="G26" i="8"/>
  <c r="M26" i="8" s="1"/>
  <c r="F26" i="8"/>
  <c r="E26" i="8"/>
  <c r="N25" i="8"/>
  <c r="H25" i="8"/>
  <c r="G25" i="8"/>
  <c r="M25" i="8" s="1"/>
  <c r="F25" i="8"/>
  <c r="E25" i="8"/>
  <c r="N24" i="8"/>
  <c r="M24" i="8"/>
  <c r="H24" i="8"/>
  <c r="G24" i="8"/>
  <c r="F24" i="8"/>
  <c r="E24" i="8"/>
  <c r="M23" i="8"/>
  <c r="H23" i="8"/>
  <c r="N23" i="8" s="1"/>
  <c r="G23" i="8"/>
  <c r="F23" i="8"/>
  <c r="E23" i="8"/>
  <c r="H22" i="8"/>
  <c r="N22" i="8" s="1"/>
  <c r="G22" i="8"/>
  <c r="M22" i="8" s="1"/>
  <c r="F22" i="8"/>
  <c r="E22" i="8"/>
  <c r="N21" i="8"/>
  <c r="H21" i="8"/>
  <c r="G21" i="8"/>
  <c r="M21" i="8" s="1"/>
  <c r="F21" i="8"/>
  <c r="E21" i="8"/>
  <c r="N20" i="8"/>
  <c r="M20" i="8"/>
  <c r="H20" i="8"/>
  <c r="G20" i="8"/>
  <c r="F20" i="8"/>
  <c r="E20" i="8"/>
  <c r="M19" i="8"/>
  <c r="H19" i="8"/>
  <c r="N19" i="8" s="1"/>
  <c r="G19" i="8"/>
  <c r="F19" i="8"/>
  <c r="E19" i="8"/>
  <c r="H18" i="8"/>
  <c r="N18" i="8" s="1"/>
  <c r="G18" i="8"/>
  <c r="M18" i="8" s="1"/>
  <c r="F18" i="8"/>
  <c r="E18" i="8"/>
  <c r="E17" i="8"/>
  <c r="M16" i="8"/>
  <c r="H16" i="8"/>
  <c r="N16" i="8" s="1"/>
  <c r="G16" i="8"/>
  <c r="F16" i="8"/>
  <c r="E16" i="8"/>
  <c r="N15" i="8"/>
  <c r="M15" i="8"/>
  <c r="E15" i="8"/>
  <c r="N14" i="8"/>
  <c r="M14" i="8"/>
  <c r="E14" i="8"/>
  <c r="N13" i="8"/>
  <c r="M13" i="8"/>
  <c r="E13" i="8"/>
  <c r="H12" i="8"/>
  <c r="N12" i="8" s="1"/>
  <c r="G12" i="8"/>
  <c r="M12" i="8" s="1"/>
  <c r="F12" i="8"/>
  <c r="E12" i="8"/>
  <c r="N11" i="8"/>
  <c r="H11" i="8"/>
  <c r="G11" i="8"/>
  <c r="M11" i="8" s="1"/>
  <c r="F11" i="8"/>
  <c r="F43" i="8" s="1"/>
  <c r="E11" i="8"/>
  <c r="N10" i="8"/>
  <c r="M10" i="8"/>
  <c r="H10" i="8"/>
  <c r="G10" i="8"/>
  <c r="F10" i="8"/>
  <c r="E10" i="8"/>
  <c r="A10" i="8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M9" i="8"/>
  <c r="H9" i="8"/>
  <c r="H43" i="8" s="1"/>
  <c r="G9" i="8"/>
  <c r="F9" i="8"/>
  <c r="E9" i="8"/>
  <c r="E43" i="8" s="1"/>
  <c r="H96" i="8" l="1"/>
  <c r="H45" i="8"/>
  <c r="N43" i="8"/>
  <c r="G68" i="8"/>
  <c r="G97" i="8"/>
  <c r="M97" i="8" s="1"/>
  <c r="M66" i="8"/>
  <c r="G88" i="8"/>
  <c r="M86" i="8"/>
  <c r="G98" i="8"/>
  <c r="K99" i="8"/>
  <c r="H56" i="8"/>
  <c r="N54" i="8"/>
  <c r="G43" i="8"/>
  <c r="G54" i="8"/>
  <c r="G91" i="8" s="1"/>
  <c r="M91" i="8" s="1"/>
  <c r="H66" i="8"/>
  <c r="N9" i="8"/>
  <c r="M59" i="8"/>
  <c r="M70" i="8"/>
  <c r="J98" i="8"/>
  <c r="J99" i="8" s="1"/>
  <c r="H86" i="8"/>
  <c r="N76" i="8"/>
  <c r="J91" i="7"/>
  <c r="J90" i="7"/>
  <c r="K81" i="7"/>
  <c r="K93" i="7" s="1"/>
  <c r="J81" i="7"/>
  <c r="J86" i="7" s="1"/>
  <c r="H81" i="7"/>
  <c r="H93" i="7" s="1"/>
  <c r="G81" i="7"/>
  <c r="F81" i="7"/>
  <c r="D81" i="7"/>
  <c r="D86" i="7" s="1"/>
  <c r="C81" i="7"/>
  <c r="N79" i="7"/>
  <c r="M79" i="7"/>
  <c r="E79" i="7"/>
  <c r="E77" i="7"/>
  <c r="N76" i="7"/>
  <c r="M76" i="7"/>
  <c r="E76" i="7"/>
  <c r="N75" i="7"/>
  <c r="M75" i="7"/>
  <c r="E75" i="7"/>
  <c r="A75" i="7"/>
  <c r="A76" i="7" s="1"/>
  <c r="A79" i="7" s="1"/>
  <c r="N74" i="7"/>
  <c r="M74" i="7"/>
  <c r="E74" i="7"/>
  <c r="N72" i="7"/>
  <c r="M72" i="7"/>
  <c r="N71" i="7"/>
  <c r="M71" i="7"/>
  <c r="E71" i="7"/>
  <c r="N70" i="7"/>
  <c r="M70" i="7"/>
  <c r="E70" i="7"/>
  <c r="N69" i="7"/>
  <c r="M69" i="7"/>
  <c r="E69" i="7"/>
  <c r="N68" i="7"/>
  <c r="M68" i="7"/>
  <c r="E68" i="7"/>
  <c r="N67" i="7"/>
  <c r="M67" i="7"/>
  <c r="E67" i="7"/>
  <c r="A67" i="7"/>
  <c r="A68" i="7" s="1"/>
  <c r="A69" i="7" s="1"/>
  <c r="A70" i="7" s="1"/>
  <c r="A71" i="7" s="1"/>
  <c r="N66" i="7"/>
  <c r="M66" i="7"/>
  <c r="E66" i="7"/>
  <c r="E81" i="7" s="1"/>
  <c r="K62" i="7"/>
  <c r="K92" i="7" s="1"/>
  <c r="J62" i="7"/>
  <c r="J92" i="7" s="1"/>
  <c r="I62" i="7"/>
  <c r="H62" i="7"/>
  <c r="H92" i="7" s="1"/>
  <c r="G62" i="7"/>
  <c r="G92" i="7" s="1"/>
  <c r="M92" i="7" s="1"/>
  <c r="F62" i="7"/>
  <c r="D62" i="7"/>
  <c r="C62" i="7"/>
  <c r="N60" i="7"/>
  <c r="M60" i="7"/>
  <c r="E60" i="7"/>
  <c r="N59" i="7"/>
  <c r="M59" i="7"/>
  <c r="E59" i="7"/>
  <c r="N58" i="7"/>
  <c r="M58" i="7"/>
  <c r="E58" i="7"/>
  <c r="N57" i="7"/>
  <c r="M57" i="7"/>
  <c r="E57" i="7"/>
  <c r="E62" i="7" s="1"/>
  <c r="N56" i="7"/>
  <c r="M56" i="7"/>
  <c r="E56" i="7"/>
  <c r="A56" i="7"/>
  <c r="A57" i="7" s="1"/>
  <c r="A58" i="7" s="1"/>
  <c r="A59" i="7" s="1"/>
  <c r="A60" i="7" s="1"/>
  <c r="N55" i="7"/>
  <c r="M55" i="7"/>
  <c r="E55" i="7"/>
  <c r="K51" i="7"/>
  <c r="J51" i="7"/>
  <c r="H51" i="7"/>
  <c r="G51" i="7"/>
  <c r="M51" i="7" s="1"/>
  <c r="F51" i="7"/>
  <c r="D51" i="7"/>
  <c r="C51" i="7"/>
  <c r="N49" i="7"/>
  <c r="M49" i="7"/>
  <c r="E49" i="7"/>
  <c r="N48" i="7"/>
  <c r="M48" i="7"/>
  <c r="E48" i="7"/>
  <c r="E47" i="7"/>
  <c r="N46" i="7"/>
  <c r="M46" i="7"/>
  <c r="E46" i="7"/>
  <c r="N45" i="7"/>
  <c r="M45" i="7"/>
  <c r="E45" i="7"/>
  <c r="N44" i="7"/>
  <c r="M44" i="7"/>
  <c r="E44" i="7"/>
  <c r="N43" i="7"/>
  <c r="M43" i="7"/>
  <c r="E43" i="7"/>
  <c r="K39" i="7"/>
  <c r="K91" i="7" s="1"/>
  <c r="J39" i="7"/>
  <c r="H39" i="7"/>
  <c r="N39" i="7" s="1"/>
  <c r="G39" i="7"/>
  <c r="M39" i="7" s="1"/>
  <c r="F39" i="7"/>
  <c r="D39" i="7"/>
  <c r="C39" i="7"/>
  <c r="N37" i="7"/>
  <c r="M37" i="7"/>
  <c r="E37" i="7"/>
  <c r="N36" i="7"/>
  <c r="M36" i="7"/>
  <c r="E36" i="7"/>
  <c r="N35" i="7"/>
  <c r="M35" i="7"/>
  <c r="E35" i="7"/>
  <c r="N34" i="7"/>
  <c r="M34" i="7"/>
  <c r="E34" i="7"/>
  <c r="N33" i="7"/>
  <c r="M33" i="7"/>
  <c r="E33" i="7"/>
  <c r="N32" i="7"/>
  <c r="M32" i="7"/>
  <c r="E32" i="7"/>
  <c r="N31" i="7"/>
  <c r="M31" i="7"/>
  <c r="E31" i="7"/>
  <c r="N30" i="7"/>
  <c r="M30" i="7"/>
  <c r="E30" i="7"/>
  <c r="E29" i="7"/>
  <c r="N28" i="7"/>
  <c r="M28" i="7"/>
  <c r="E28" i="7"/>
  <c r="A28" i="7"/>
  <c r="A29" i="7" s="1"/>
  <c r="A30" i="7" s="1"/>
  <c r="A31" i="7" s="1"/>
  <c r="A32" i="7" s="1"/>
  <c r="A33" i="7" s="1"/>
  <c r="A34" i="7" s="1"/>
  <c r="A35" i="7" s="1"/>
  <c r="A36" i="7" s="1"/>
  <c r="A37" i="7" s="1"/>
  <c r="N27" i="7"/>
  <c r="M27" i="7"/>
  <c r="E27" i="7"/>
  <c r="N24" i="7"/>
  <c r="M24" i="7"/>
  <c r="E24" i="7"/>
  <c r="N23" i="7"/>
  <c r="M23" i="7"/>
  <c r="E23" i="7"/>
  <c r="N22" i="7"/>
  <c r="M22" i="7"/>
  <c r="E22" i="7"/>
  <c r="N21" i="7"/>
  <c r="M21" i="7"/>
  <c r="E21" i="7"/>
  <c r="N20" i="7"/>
  <c r="M20" i="7"/>
  <c r="E20" i="7"/>
  <c r="N19" i="7"/>
  <c r="M19" i="7"/>
  <c r="E19" i="7"/>
  <c r="N18" i="7"/>
  <c r="M18" i="7"/>
  <c r="E18" i="7"/>
  <c r="N17" i="7"/>
  <c r="M17" i="7"/>
  <c r="E17" i="7"/>
  <c r="N16" i="7"/>
  <c r="M16" i="7"/>
  <c r="E16" i="7"/>
  <c r="N15" i="7"/>
  <c r="M15" i="7"/>
  <c r="E15" i="7"/>
  <c r="N14" i="7"/>
  <c r="M14" i="7"/>
  <c r="E14" i="7"/>
  <c r="N13" i="7"/>
  <c r="M13" i="7"/>
  <c r="E13" i="7"/>
  <c r="N12" i="7"/>
  <c r="M12" i="7"/>
  <c r="E12" i="7"/>
  <c r="N11" i="7"/>
  <c r="M11" i="7"/>
  <c r="E11" i="7"/>
  <c r="N10" i="7"/>
  <c r="M10" i="7"/>
  <c r="E10" i="7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N9" i="7"/>
  <c r="M9" i="7"/>
  <c r="E9" i="7"/>
  <c r="H98" i="8" l="1"/>
  <c r="N98" i="8" s="1"/>
  <c r="H88" i="8"/>
  <c r="H91" i="8"/>
  <c r="N91" i="8" s="1"/>
  <c r="N86" i="8"/>
  <c r="M54" i="8"/>
  <c r="G56" i="8"/>
  <c r="M43" i="8"/>
  <c r="G96" i="8"/>
  <c r="G45" i="8"/>
  <c r="H97" i="8"/>
  <c r="N97" i="8" s="1"/>
  <c r="N66" i="8"/>
  <c r="H68" i="8"/>
  <c r="M98" i="8"/>
  <c r="H99" i="8"/>
  <c r="N99" i="8" s="1"/>
  <c r="N96" i="8"/>
  <c r="K86" i="7"/>
  <c r="C86" i="7"/>
  <c r="G86" i="7"/>
  <c r="N92" i="7"/>
  <c r="M62" i="7"/>
  <c r="G91" i="7"/>
  <c r="G94" i="7" s="1"/>
  <c r="M94" i="7" s="1"/>
  <c r="E51" i="7"/>
  <c r="N51" i="7"/>
  <c r="E39" i="7"/>
  <c r="E86" i="7" s="1"/>
  <c r="F86" i="7"/>
  <c r="M86" i="7"/>
  <c r="J94" i="7"/>
  <c r="K94" i="7"/>
  <c r="N93" i="7"/>
  <c r="M81" i="7"/>
  <c r="M91" i="7"/>
  <c r="G93" i="7"/>
  <c r="N81" i="7"/>
  <c r="H91" i="7"/>
  <c r="H86" i="7"/>
  <c r="N86" i="7" s="1"/>
  <c r="J93" i="7"/>
  <c r="N62" i="7"/>
  <c r="N95" i="3"/>
  <c r="M96" i="3"/>
  <c r="N94" i="3"/>
  <c r="H96" i="3"/>
  <c r="G96" i="3"/>
  <c r="H95" i="3"/>
  <c r="G95" i="3"/>
  <c r="M95" i="3" s="1"/>
  <c r="H94" i="3"/>
  <c r="H97" i="3" s="1"/>
  <c r="G94" i="3"/>
  <c r="N84" i="3"/>
  <c r="M84" i="3"/>
  <c r="M69" i="3"/>
  <c r="N69" i="3"/>
  <c r="M70" i="3"/>
  <c r="N70" i="3"/>
  <c r="M71" i="3"/>
  <c r="N71" i="3"/>
  <c r="M72" i="3"/>
  <c r="N72" i="3"/>
  <c r="M73" i="3"/>
  <c r="N73" i="3"/>
  <c r="M74" i="3"/>
  <c r="N74" i="3"/>
  <c r="M75" i="3"/>
  <c r="N75" i="3"/>
  <c r="M76" i="3"/>
  <c r="N76" i="3"/>
  <c r="M77" i="3"/>
  <c r="N77" i="3"/>
  <c r="M78" i="3"/>
  <c r="N78" i="3"/>
  <c r="M79" i="3"/>
  <c r="N79" i="3"/>
  <c r="M80" i="3"/>
  <c r="N80" i="3"/>
  <c r="M81" i="3"/>
  <c r="N81" i="3"/>
  <c r="M82" i="3"/>
  <c r="N82" i="3"/>
  <c r="N68" i="3"/>
  <c r="M68" i="3"/>
  <c r="N64" i="3"/>
  <c r="M64" i="3"/>
  <c r="M62" i="3"/>
  <c r="N62" i="3"/>
  <c r="M57" i="3"/>
  <c r="N57" i="3"/>
  <c r="M58" i="3"/>
  <c r="N58" i="3"/>
  <c r="M59" i="3"/>
  <c r="N59" i="3"/>
  <c r="M60" i="3"/>
  <c r="N60" i="3"/>
  <c r="M61" i="3"/>
  <c r="N61" i="3"/>
  <c r="N56" i="3"/>
  <c r="M56" i="3"/>
  <c r="N52" i="3"/>
  <c r="M52" i="3"/>
  <c r="M46" i="3"/>
  <c r="N46" i="3"/>
  <c r="M47" i="3"/>
  <c r="N47" i="3"/>
  <c r="M48" i="3"/>
  <c r="N48" i="3"/>
  <c r="M49" i="3"/>
  <c r="N49" i="3"/>
  <c r="M50" i="3"/>
  <c r="N50" i="3"/>
  <c r="N45" i="3"/>
  <c r="M45" i="3"/>
  <c r="N41" i="3"/>
  <c r="M41" i="3"/>
  <c r="M9" i="3"/>
  <c r="N9" i="3"/>
  <c r="M10" i="3"/>
  <c r="N10" i="3"/>
  <c r="M11" i="3"/>
  <c r="N11" i="3"/>
  <c r="M12" i="3"/>
  <c r="N12" i="3"/>
  <c r="M13" i="3"/>
  <c r="N13" i="3"/>
  <c r="M14" i="3"/>
  <c r="N14" i="3"/>
  <c r="M15" i="3"/>
  <c r="N15" i="3"/>
  <c r="M16" i="3"/>
  <c r="N16" i="3"/>
  <c r="M17" i="3"/>
  <c r="N17" i="3"/>
  <c r="M18" i="3"/>
  <c r="N18" i="3"/>
  <c r="M19" i="3"/>
  <c r="N19" i="3"/>
  <c r="M20" i="3"/>
  <c r="N20" i="3"/>
  <c r="M21" i="3"/>
  <c r="N21" i="3"/>
  <c r="M22" i="3"/>
  <c r="N22" i="3"/>
  <c r="M23" i="3"/>
  <c r="N23" i="3"/>
  <c r="M24" i="3"/>
  <c r="N24" i="3"/>
  <c r="M25" i="3"/>
  <c r="N25" i="3"/>
  <c r="M26" i="3"/>
  <c r="N26" i="3"/>
  <c r="M27" i="3"/>
  <c r="N27" i="3"/>
  <c r="M28" i="3"/>
  <c r="N28" i="3"/>
  <c r="M29" i="3"/>
  <c r="N29" i="3"/>
  <c r="M30" i="3"/>
  <c r="N30" i="3"/>
  <c r="M31" i="3"/>
  <c r="N31" i="3"/>
  <c r="M32" i="3"/>
  <c r="N32" i="3"/>
  <c r="M33" i="3"/>
  <c r="N33" i="3"/>
  <c r="M34" i="3"/>
  <c r="N34" i="3"/>
  <c r="M35" i="3"/>
  <c r="N35" i="3"/>
  <c r="M36" i="3"/>
  <c r="N36" i="3"/>
  <c r="M37" i="3"/>
  <c r="N37" i="3"/>
  <c r="M38" i="3"/>
  <c r="N38" i="3"/>
  <c r="M39" i="3"/>
  <c r="N39" i="3"/>
  <c r="N8" i="3"/>
  <c r="M8" i="3"/>
  <c r="J93" i="3"/>
  <c r="K84" i="3"/>
  <c r="J84" i="3"/>
  <c r="J96" i="3" s="1"/>
  <c r="H84" i="3"/>
  <c r="G84" i="3"/>
  <c r="F84" i="3"/>
  <c r="D84" i="3"/>
  <c r="C84" i="3"/>
  <c r="E82" i="3"/>
  <c r="E79" i="3"/>
  <c r="E78" i="3"/>
  <c r="E77" i="3"/>
  <c r="A77" i="3"/>
  <c r="A78" i="3" s="1"/>
  <c r="A79" i="3" s="1"/>
  <c r="A82" i="3" s="1"/>
  <c r="E76" i="3"/>
  <c r="E73" i="3"/>
  <c r="E72" i="3"/>
  <c r="E71" i="3"/>
  <c r="E70" i="3"/>
  <c r="E69" i="3"/>
  <c r="A69" i="3"/>
  <c r="A70" i="3" s="1"/>
  <c r="A71" i="3" s="1"/>
  <c r="A72" i="3" s="1"/>
  <c r="A73" i="3" s="1"/>
  <c r="E68" i="3"/>
  <c r="E84" i="3" s="1"/>
  <c r="K64" i="3"/>
  <c r="K95" i="3" s="1"/>
  <c r="J64" i="3"/>
  <c r="J95" i="3" s="1"/>
  <c r="I64" i="3"/>
  <c r="H64" i="3"/>
  <c r="G64" i="3"/>
  <c r="F64" i="3"/>
  <c r="D64" i="3"/>
  <c r="C64" i="3"/>
  <c r="E62" i="3"/>
  <c r="E61" i="3"/>
  <c r="E60" i="3"/>
  <c r="E59" i="3"/>
  <c r="E58" i="3"/>
  <c r="E57" i="3"/>
  <c r="A57" i="3"/>
  <c r="A58" i="3" s="1"/>
  <c r="A59" i="3" s="1"/>
  <c r="A60" i="3" s="1"/>
  <c r="A61" i="3" s="1"/>
  <c r="E56" i="3"/>
  <c r="E64" i="3" s="1"/>
  <c r="K52" i="3"/>
  <c r="J52" i="3"/>
  <c r="H52" i="3"/>
  <c r="G52" i="3"/>
  <c r="F52" i="3"/>
  <c r="D52" i="3"/>
  <c r="C52" i="3"/>
  <c r="E50" i="3"/>
  <c r="E49" i="3"/>
  <c r="E48" i="3"/>
  <c r="E47" i="3"/>
  <c r="E46" i="3"/>
  <c r="E45" i="3"/>
  <c r="E52" i="3" s="1"/>
  <c r="K41" i="3"/>
  <c r="K94" i="3" s="1"/>
  <c r="J41" i="3"/>
  <c r="J94" i="3" s="1"/>
  <c r="J97" i="3" s="1"/>
  <c r="H41" i="3"/>
  <c r="G41" i="3"/>
  <c r="F41" i="3"/>
  <c r="D41" i="3"/>
  <c r="C41" i="3"/>
  <c r="E39" i="3"/>
  <c r="E38" i="3"/>
  <c r="E37" i="3"/>
  <c r="E36" i="3"/>
  <c r="E35" i="3"/>
  <c r="E34" i="3"/>
  <c r="E33" i="3"/>
  <c r="E32" i="3"/>
  <c r="E31" i="3"/>
  <c r="E30" i="3"/>
  <c r="A30" i="3"/>
  <c r="A31" i="3" s="1"/>
  <c r="A32" i="3" s="1"/>
  <c r="A33" i="3" s="1"/>
  <c r="A34" i="3" s="1"/>
  <c r="A35" i="3" s="1"/>
  <c r="A36" i="3" s="1"/>
  <c r="A37" i="3" s="1"/>
  <c r="A38" i="3" s="1"/>
  <c r="A39" i="3" s="1"/>
  <c r="E29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E8" i="3"/>
  <c r="M95" i="2"/>
  <c r="M96" i="2"/>
  <c r="H96" i="2"/>
  <c r="G96" i="2"/>
  <c r="H95" i="2"/>
  <c r="N95" i="2" s="1"/>
  <c r="G95" i="2"/>
  <c r="H94" i="2"/>
  <c r="G94" i="2"/>
  <c r="G97" i="2" s="1"/>
  <c r="M97" i="2" s="1"/>
  <c r="N84" i="2"/>
  <c r="M84" i="2"/>
  <c r="M69" i="2"/>
  <c r="N69" i="2"/>
  <c r="M70" i="2"/>
  <c r="N70" i="2"/>
  <c r="M71" i="2"/>
  <c r="N71" i="2"/>
  <c r="M72" i="2"/>
  <c r="N72" i="2"/>
  <c r="M73" i="2"/>
  <c r="N73" i="2"/>
  <c r="M74" i="2"/>
  <c r="N74" i="2"/>
  <c r="M75" i="2"/>
  <c r="N75" i="2"/>
  <c r="M76" i="2"/>
  <c r="N76" i="2"/>
  <c r="M77" i="2"/>
  <c r="N77" i="2"/>
  <c r="M78" i="2"/>
  <c r="N78" i="2"/>
  <c r="M79" i="2"/>
  <c r="N79" i="2"/>
  <c r="M80" i="2"/>
  <c r="N80" i="2"/>
  <c r="M81" i="2"/>
  <c r="N81" i="2"/>
  <c r="M82" i="2"/>
  <c r="N82" i="2"/>
  <c r="N68" i="2"/>
  <c r="M68" i="2"/>
  <c r="N64" i="2"/>
  <c r="M64" i="2"/>
  <c r="M57" i="2"/>
  <c r="N57" i="2"/>
  <c r="M58" i="2"/>
  <c r="N58" i="2"/>
  <c r="M59" i="2"/>
  <c r="N59" i="2"/>
  <c r="M60" i="2"/>
  <c r="N60" i="2"/>
  <c r="M61" i="2"/>
  <c r="N61" i="2"/>
  <c r="M62" i="2"/>
  <c r="N62" i="2"/>
  <c r="N56" i="2"/>
  <c r="M56" i="2"/>
  <c r="M46" i="2"/>
  <c r="N46" i="2"/>
  <c r="M47" i="2"/>
  <c r="N47" i="2"/>
  <c r="M48" i="2"/>
  <c r="N48" i="2"/>
  <c r="M49" i="2"/>
  <c r="N49" i="2"/>
  <c r="M50" i="2"/>
  <c r="N50" i="2"/>
  <c r="N45" i="2"/>
  <c r="M45" i="2"/>
  <c r="N52" i="2"/>
  <c r="M52" i="2"/>
  <c r="N41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8" i="2"/>
  <c r="M41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8" i="2"/>
  <c r="J93" i="2"/>
  <c r="K84" i="2"/>
  <c r="J84" i="2"/>
  <c r="J96" i="2" s="1"/>
  <c r="H84" i="2"/>
  <c r="G84" i="2"/>
  <c r="F84" i="2"/>
  <c r="D84" i="2"/>
  <c r="C84" i="2"/>
  <c r="E82" i="2"/>
  <c r="E79" i="2"/>
  <c r="E78" i="2"/>
  <c r="E77" i="2"/>
  <c r="A77" i="2"/>
  <c r="A78" i="2" s="1"/>
  <c r="A79" i="2" s="1"/>
  <c r="A82" i="2" s="1"/>
  <c r="E76" i="2"/>
  <c r="E73" i="2"/>
  <c r="E72" i="2"/>
  <c r="E71" i="2"/>
  <c r="E70" i="2"/>
  <c r="E69" i="2"/>
  <c r="A69" i="2"/>
  <c r="A70" i="2" s="1"/>
  <c r="A71" i="2" s="1"/>
  <c r="A72" i="2" s="1"/>
  <c r="A73" i="2" s="1"/>
  <c r="E68" i="2"/>
  <c r="E84" i="2" s="1"/>
  <c r="K64" i="2"/>
  <c r="K95" i="2" s="1"/>
  <c r="J64" i="2"/>
  <c r="J95" i="2" s="1"/>
  <c r="I64" i="2"/>
  <c r="H64" i="2"/>
  <c r="G64" i="2"/>
  <c r="F64" i="2"/>
  <c r="D64" i="2"/>
  <c r="C64" i="2"/>
  <c r="E62" i="2"/>
  <c r="E61" i="2"/>
  <c r="E60" i="2"/>
  <c r="E59" i="2"/>
  <c r="E58" i="2"/>
  <c r="E57" i="2"/>
  <c r="A57" i="2"/>
  <c r="A58" i="2" s="1"/>
  <c r="A59" i="2" s="1"/>
  <c r="A60" i="2" s="1"/>
  <c r="A61" i="2" s="1"/>
  <c r="E56" i="2"/>
  <c r="E64" i="2" s="1"/>
  <c r="K52" i="2"/>
  <c r="J52" i="2"/>
  <c r="H52" i="2"/>
  <c r="G52" i="2"/>
  <c r="F52" i="2"/>
  <c r="D52" i="2"/>
  <c r="C52" i="2"/>
  <c r="E50" i="2"/>
  <c r="E49" i="2"/>
  <c r="E48" i="2"/>
  <c r="E47" i="2"/>
  <c r="E46" i="2"/>
  <c r="E45" i="2"/>
  <c r="E52" i="2" s="1"/>
  <c r="K41" i="2"/>
  <c r="K94" i="2" s="1"/>
  <c r="N94" i="2" s="1"/>
  <c r="J41" i="2"/>
  <c r="J94" i="2" s="1"/>
  <c r="J97" i="2" s="1"/>
  <c r="H41" i="2"/>
  <c r="G41" i="2"/>
  <c r="F41" i="2"/>
  <c r="D41" i="2"/>
  <c r="C41" i="2"/>
  <c r="E39" i="2"/>
  <c r="E38" i="2"/>
  <c r="E37" i="2"/>
  <c r="E36" i="2"/>
  <c r="E35" i="2"/>
  <c r="E34" i="2"/>
  <c r="E33" i="2"/>
  <c r="E32" i="2"/>
  <c r="E31" i="2"/>
  <c r="E30" i="2"/>
  <c r="A30" i="2"/>
  <c r="A31" i="2" s="1"/>
  <c r="A32" i="2" s="1"/>
  <c r="A33" i="2" s="1"/>
  <c r="A34" i="2" s="1"/>
  <c r="A35" i="2" s="1"/>
  <c r="A36" i="2" s="1"/>
  <c r="A37" i="2" s="1"/>
  <c r="A38" i="2" s="1"/>
  <c r="A39" i="2" s="1"/>
  <c r="E29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E8" i="2"/>
  <c r="E41" i="2" s="1"/>
  <c r="M95" i="1"/>
  <c r="N95" i="1"/>
  <c r="H96" i="1"/>
  <c r="G96" i="1"/>
  <c r="M96" i="1" s="1"/>
  <c r="H95" i="1"/>
  <c r="G95" i="1"/>
  <c r="H94" i="1"/>
  <c r="H97" i="1" s="1"/>
  <c r="G94" i="1"/>
  <c r="G97" i="1" s="1"/>
  <c r="M97" i="1" s="1"/>
  <c r="N84" i="1"/>
  <c r="M84" i="1"/>
  <c r="M69" i="1"/>
  <c r="N69" i="1"/>
  <c r="M70" i="1"/>
  <c r="N70" i="1"/>
  <c r="M71" i="1"/>
  <c r="N71" i="1"/>
  <c r="M72" i="1"/>
  <c r="N72" i="1"/>
  <c r="M73" i="1"/>
  <c r="N73" i="1"/>
  <c r="M74" i="1"/>
  <c r="N74" i="1"/>
  <c r="M75" i="1"/>
  <c r="N75" i="1"/>
  <c r="M76" i="1"/>
  <c r="N76" i="1"/>
  <c r="M77" i="1"/>
  <c r="N77" i="1"/>
  <c r="M78" i="1"/>
  <c r="N78" i="1"/>
  <c r="M79" i="1"/>
  <c r="N79" i="1"/>
  <c r="M80" i="1"/>
  <c r="N80" i="1"/>
  <c r="M81" i="1"/>
  <c r="N81" i="1"/>
  <c r="M82" i="1"/>
  <c r="N82" i="1"/>
  <c r="N68" i="1"/>
  <c r="M68" i="1"/>
  <c r="N64" i="1"/>
  <c r="M64" i="1"/>
  <c r="M57" i="1"/>
  <c r="N57" i="1"/>
  <c r="M58" i="1"/>
  <c r="N58" i="1"/>
  <c r="M59" i="1"/>
  <c r="N59" i="1"/>
  <c r="M60" i="1"/>
  <c r="N60" i="1"/>
  <c r="M61" i="1"/>
  <c r="N61" i="1"/>
  <c r="M62" i="1"/>
  <c r="N62" i="1"/>
  <c r="N56" i="1"/>
  <c r="M56" i="1"/>
  <c r="N52" i="1"/>
  <c r="M52" i="1"/>
  <c r="N46" i="1"/>
  <c r="N47" i="1"/>
  <c r="N48" i="1"/>
  <c r="N49" i="1"/>
  <c r="N50" i="1"/>
  <c r="N45" i="1"/>
  <c r="M46" i="1"/>
  <c r="M47" i="1"/>
  <c r="M48" i="1"/>
  <c r="M49" i="1"/>
  <c r="M50" i="1"/>
  <c r="M45" i="1"/>
  <c r="N41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8" i="1"/>
  <c r="M41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8" i="1"/>
  <c r="J93" i="1"/>
  <c r="K84" i="1"/>
  <c r="J84" i="1"/>
  <c r="J96" i="1" s="1"/>
  <c r="H84" i="1"/>
  <c r="G84" i="1"/>
  <c r="F84" i="1"/>
  <c r="D84" i="1"/>
  <c r="C84" i="1"/>
  <c r="E82" i="1"/>
  <c r="E79" i="1"/>
  <c r="E78" i="1"/>
  <c r="E77" i="1"/>
  <c r="A77" i="1"/>
  <c r="A78" i="1" s="1"/>
  <c r="A79" i="1" s="1"/>
  <c r="A82" i="1" s="1"/>
  <c r="E76" i="1"/>
  <c r="E73" i="1"/>
  <c r="E72" i="1"/>
  <c r="E71" i="1"/>
  <c r="E70" i="1"/>
  <c r="E69" i="1"/>
  <c r="A69" i="1"/>
  <c r="A70" i="1" s="1"/>
  <c r="A71" i="1" s="1"/>
  <c r="A72" i="1" s="1"/>
  <c r="A73" i="1" s="1"/>
  <c r="E68" i="1"/>
  <c r="E84" i="1" s="1"/>
  <c r="K64" i="1"/>
  <c r="K95" i="1" s="1"/>
  <c r="J64" i="1"/>
  <c r="J95" i="1" s="1"/>
  <c r="I64" i="1"/>
  <c r="H64" i="1"/>
  <c r="G64" i="1"/>
  <c r="F64" i="1"/>
  <c r="D64" i="1"/>
  <c r="C64" i="1"/>
  <c r="E62" i="1"/>
  <c r="E61" i="1"/>
  <c r="E60" i="1"/>
  <c r="E59" i="1"/>
  <c r="E58" i="1"/>
  <c r="E57" i="1"/>
  <c r="A57" i="1"/>
  <c r="A58" i="1" s="1"/>
  <c r="A59" i="1" s="1"/>
  <c r="A60" i="1" s="1"/>
  <c r="A61" i="1" s="1"/>
  <c r="E56" i="1"/>
  <c r="E64" i="1" s="1"/>
  <c r="K52" i="1"/>
  <c r="J52" i="1"/>
  <c r="H52" i="1"/>
  <c r="G52" i="1"/>
  <c r="F52" i="1"/>
  <c r="D52" i="1"/>
  <c r="C52" i="1"/>
  <c r="E50" i="1"/>
  <c r="E49" i="1"/>
  <c r="E48" i="1"/>
  <c r="E47" i="1"/>
  <c r="E46" i="1"/>
  <c r="E45" i="1"/>
  <c r="E52" i="1" s="1"/>
  <c r="K41" i="1"/>
  <c r="K94" i="1" s="1"/>
  <c r="J41" i="1"/>
  <c r="J94" i="1" s="1"/>
  <c r="J97" i="1" s="1"/>
  <c r="H41" i="1"/>
  <c r="G41" i="1"/>
  <c r="F41" i="1"/>
  <c r="D41" i="1"/>
  <c r="C41" i="1"/>
  <c r="E39" i="1"/>
  <c r="E38" i="1"/>
  <c r="E37" i="1"/>
  <c r="E36" i="1"/>
  <c r="E35" i="1"/>
  <c r="E34" i="1"/>
  <c r="E33" i="1"/>
  <c r="E32" i="1"/>
  <c r="E31" i="1"/>
  <c r="E30" i="1"/>
  <c r="A30" i="1"/>
  <c r="A31" i="1" s="1"/>
  <c r="A32" i="1" s="1"/>
  <c r="A33" i="1" s="1"/>
  <c r="A34" i="1" s="1"/>
  <c r="A35" i="1" s="1"/>
  <c r="A36" i="1" s="1"/>
  <c r="A37" i="1" s="1"/>
  <c r="A38" i="1" s="1"/>
  <c r="A39" i="1" s="1"/>
  <c r="E29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E8" i="1"/>
  <c r="E41" i="1" s="1"/>
  <c r="J95" i="6"/>
  <c r="K86" i="6"/>
  <c r="K91" i="6" s="1"/>
  <c r="J86" i="6"/>
  <c r="J98" i="6" s="1"/>
  <c r="H86" i="6"/>
  <c r="H91" i="6" s="1"/>
  <c r="N91" i="6" s="1"/>
  <c r="G86" i="6"/>
  <c r="G98" i="6" s="1"/>
  <c r="M98" i="6" s="1"/>
  <c r="F86" i="6"/>
  <c r="F91" i="6" s="1"/>
  <c r="D86" i="6"/>
  <c r="D91" i="6" s="1"/>
  <c r="C86" i="6"/>
  <c r="C91" i="6" s="1"/>
  <c r="N84" i="6"/>
  <c r="M84" i="6"/>
  <c r="E84" i="6"/>
  <c r="E82" i="6"/>
  <c r="N81" i="6"/>
  <c r="M81" i="6"/>
  <c r="E81" i="6"/>
  <c r="N80" i="6"/>
  <c r="M80" i="6"/>
  <c r="E80" i="6"/>
  <c r="N79" i="6"/>
  <c r="M79" i="6"/>
  <c r="E79" i="6"/>
  <c r="A79" i="6"/>
  <c r="A80" i="6" s="1"/>
  <c r="A81" i="6" s="1"/>
  <c r="A84" i="6" s="1"/>
  <c r="N78" i="6"/>
  <c r="M78" i="6"/>
  <c r="E78" i="6"/>
  <c r="N76" i="6"/>
  <c r="M76" i="6"/>
  <c r="N75" i="6"/>
  <c r="M75" i="6"/>
  <c r="E75" i="6"/>
  <c r="N74" i="6"/>
  <c r="M74" i="6"/>
  <c r="E74" i="6"/>
  <c r="N73" i="6"/>
  <c r="M73" i="6"/>
  <c r="E73" i="6"/>
  <c r="N72" i="6"/>
  <c r="M72" i="6"/>
  <c r="E72" i="6"/>
  <c r="N71" i="6"/>
  <c r="M71" i="6"/>
  <c r="E71" i="6"/>
  <c r="A71" i="6"/>
  <c r="A72" i="6" s="1"/>
  <c r="A73" i="6" s="1"/>
  <c r="A74" i="6" s="1"/>
  <c r="A75" i="6" s="1"/>
  <c r="N70" i="6"/>
  <c r="M70" i="6"/>
  <c r="E70" i="6"/>
  <c r="E86" i="6" s="1"/>
  <c r="K66" i="6"/>
  <c r="K97" i="6" s="1"/>
  <c r="J66" i="6"/>
  <c r="J97" i="6" s="1"/>
  <c r="I66" i="6"/>
  <c r="H66" i="6"/>
  <c r="H97" i="6" s="1"/>
  <c r="G66" i="6"/>
  <c r="G97" i="6" s="1"/>
  <c r="M97" i="6" s="1"/>
  <c r="F66" i="6"/>
  <c r="D66" i="6"/>
  <c r="C66" i="6"/>
  <c r="N64" i="6"/>
  <c r="M64" i="6"/>
  <c r="E64" i="6"/>
  <c r="N63" i="6"/>
  <c r="M63" i="6"/>
  <c r="E63" i="6"/>
  <c r="N62" i="6"/>
  <c r="M62" i="6"/>
  <c r="E62" i="6"/>
  <c r="N61" i="6"/>
  <c r="M61" i="6"/>
  <c r="E61" i="6"/>
  <c r="N60" i="6"/>
  <c r="M60" i="6"/>
  <c r="E60" i="6"/>
  <c r="N59" i="6"/>
  <c r="M59" i="6"/>
  <c r="E59" i="6"/>
  <c r="A59" i="6"/>
  <c r="A60" i="6" s="1"/>
  <c r="A61" i="6" s="1"/>
  <c r="A62" i="6" s="1"/>
  <c r="A63" i="6" s="1"/>
  <c r="N58" i="6"/>
  <c r="M58" i="6"/>
  <c r="E58" i="6"/>
  <c r="E66" i="6" s="1"/>
  <c r="K54" i="6"/>
  <c r="J54" i="6"/>
  <c r="H54" i="6"/>
  <c r="N54" i="6" s="1"/>
  <c r="G54" i="6"/>
  <c r="M54" i="6" s="1"/>
  <c r="F54" i="6"/>
  <c r="D54" i="6"/>
  <c r="C54" i="6"/>
  <c r="N52" i="6"/>
  <c r="M52" i="6"/>
  <c r="E52" i="6"/>
  <c r="E51" i="6"/>
  <c r="N50" i="6"/>
  <c r="M50" i="6"/>
  <c r="E50" i="6"/>
  <c r="N49" i="6"/>
  <c r="M49" i="6"/>
  <c r="E49" i="6"/>
  <c r="N48" i="6"/>
  <c r="M48" i="6"/>
  <c r="E48" i="6"/>
  <c r="N47" i="6"/>
  <c r="M47" i="6"/>
  <c r="E47" i="6"/>
  <c r="E54" i="6" s="1"/>
  <c r="K43" i="6"/>
  <c r="K96" i="6" s="1"/>
  <c r="J43" i="6"/>
  <c r="J96" i="6" s="1"/>
  <c r="J99" i="6" s="1"/>
  <c r="H43" i="6"/>
  <c r="N43" i="6" s="1"/>
  <c r="G43" i="6"/>
  <c r="G96" i="6" s="1"/>
  <c r="F43" i="6"/>
  <c r="D43" i="6"/>
  <c r="C43" i="6"/>
  <c r="N41" i="6"/>
  <c r="M41" i="6"/>
  <c r="E41" i="6"/>
  <c r="N40" i="6"/>
  <c r="M40" i="6"/>
  <c r="E40" i="6"/>
  <c r="N39" i="6"/>
  <c r="M39" i="6"/>
  <c r="E39" i="6"/>
  <c r="N38" i="6"/>
  <c r="M38" i="6"/>
  <c r="E38" i="6"/>
  <c r="N37" i="6"/>
  <c r="M37" i="6"/>
  <c r="E37" i="6"/>
  <c r="N36" i="6"/>
  <c r="M36" i="6"/>
  <c r="E36" i="6"/>
  <c r="N35" i="6"/>
  <c r="M35" i="6"/>
  <c r="E35" i="6"/>
  <c r="N34" i="6"/>
  <c r="M34" i="6"/>
  <c r="E34" i="6"/>
  <c r="E33" i="6"/>
  <c r="N32" i="6"/>
  <c r="M32" i="6"/>
  <c r="E32" i="6"/>
  <c r="A32" i="6"/>
  <c r="A33" i="6" s="1"/>
  <c r="A34" i="6" s="1"/>
  <c r="A35" i="6" s="1"/>
  <c r="A36" i="6" s="1"/>
  <c r="A37" i="6" s="1"/>
  <c r="A38" i="6" s="1"/>
  <c r="A39" i="6" s="1"/>
  <c r="A40" i="6" s="1"/>
  <c r="A41" i="6" s="1"/>
  <c r="N31" i="6"/>
  <c r="M31" i="6"/>
  <c r="E31" i="6"/>
  <c r="N28" i="6"/>
  <c r="M28" i="6"/>
  <c r="E28" i="6"/>
  <c r="N27" i="6"/>
  <c r="M27" i="6"/>
  <c r="E27" i="6"/>
  <c r="N26" i="6"/>
  <c r="M26" i="6"/>
  <c r="E26" i="6"/>
  <c r="N25" i="6"/>
  <c r="M25" i="6"/>
  <c r="E25" i="6"/>
  <c r="N24" i="6"/>
  <c r="M24" i="6"/>
  <c r="E24" i="6"/>
  <c r="N23" i="6"/>
  <c r="M23" i="6"/>
  <c r="E23" i="6"/>
  <c r="N22" i="6"/>
  <c r="M22" i="6"/>
  <c r="E22" i="6"/>
  <c r="N21" i="6"/>
  <c r="M21" i="6"/>
  <c r="E21" i="6"/>
  <c r="N20" i="6"/>
  <c r="M20" i="6"/>
  <c r="E20" i="6"/>
  <c r="N19" i="6"/>
  <c r="M19" i="6"/>
  <c r="E19" i="6"/>
  <c r="N18" i="6"/>
  <c r="M18" i="6"/>
  <c r="E18" i="6"/>
  <c r="E17" i="6"/>
  <c r="N16" i="6"/>
  <c r="M16" i="6"/>
  <c r="E16" i="6"/>
  <c r="N15" i="6"/>
  <c r="M15" i="6"/>
  <c r="E15" i="6"/>
  <c r="N14" i="6"/>
  <c r="M14" i="6"/>
  <c r="E14" i="6"/>
  <c r="N13" i="6"/>
  <c r="M13" i="6"/>
  <c r="E13" i="6"/>
  <c r="N12" i="6"/>
  <c r="M12" i="6"/>
  <c r="E12" i="6"/>
  <c r="N11" i="6"/>
  <c r="M11" i="6"/>
  <c r="E11" i="6"/>
  <c r="N10" i="6"/>
  <c r="M10" i="6"/>
  <c r="E10" i="6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N9" i="6"/>
  <c r="M9" i="6"/>
  <c r="E9" i="6"/>
  <c r="E43" i="6" s="1"/>
  <c r="M96" i="8" l="1"/>
  <c r="G99" i="8"/>
  <c r="M99" i="8" s="1"/>
  <c r="H94" i="7"/>
  <c r="N94" i="7" s="1"/>
  <c r="N91" i="7"/>
  <c r="M93" i="7"/>
  <c r="M94" i="1"/>
  <c r="H97" i="2"/>
  <c r="G97" i="3"/>
  <c r="M97" i="3" s="1"/>
  <c r="M94" i="3"/>
  <c r="N94" i="1"/>
  <c r="M94" i="2"/>
  <c r="E41" i="3"/>
  <c r="E89" i="3" s="1"/>
  <c r="C89" i="3"/>
  <c r="F89" i="3"/>
  <c r="H89" i="3"/>
  <c r="D89" i="3"/>
  <c r="G89" i="3"/>
  <c r="M89" i="3" s="1"/>
  <c r="K89" i="3"/>
  <c r="J89" i="3"/>
  <c r="K96" i="3"/>
  <c r="K97" i="3" s="1"/>
  <c r="N97" i="3" s="1"/>
  <c r="D89" i="2"/>
  <c r="G89" i="2"/>
  <c r="C89" i="2"/>
  <c r="F89" i="2"/>
  <c r="H89" i="2"/>
  <c r="N89" i="2" s="1"/>
  <c r="K89" i="2"/>
  <c r="E89" i="2"/>
  <c r="J89" i="2"/>
  <c r="K96" i="2"/>
  <c r="D89" i="1"/>
  <c r="C89" i="1"/>
  <c r="K89" i="1"/>
  <c r="G89" i="1"/>
  <c r="M89" i="1" s="1"/>
  <c r="F89" i="1"/>
  <c r="H89" i="1"/>
  <c r="E89" i="1"/>
  <c r="O52" i="1"/>
  <c r="J89" i="1"/>
  <c r="K96" i="1"/>
  <c r="G99" i="6"/>
  <c r="M99" i="6" s="1"/>
  <c r="M96" i="6"/>
  <c r="N97" i="6"/>
  <c r="E91" i="6"/>
  <c r="M43" i="6"/>
  <c r="N66" i="6"/>
  <c r="M86" i="6"/>
  <c r="G91" i="6"/>
  <c r="J91" i="6"/>
  <c r="H96" i="6"/>
  <c r="H98" i="6"/>
  <c r="K98" i="6"/>
  <c r="K99" i="6" s="1"/>
  <c r="M66" i="6"/>
  <c r="N86" i="6"/>
  <c r="K97" i="2" l="1"/>
  <c r="N96" i="2"/>
  <c r="M91" i="6"/>
  <c r="N89" i="1"/>
  <c r="K97" i="1"/>
  <c r="N97" i="1" s="1"/>
  <c r="N96" i="1"/>
  <c r="M89" i="2"/>
  <c r="N89" i="3"/>
  <c r="N97" i="2"/>
  <c r="N96" i="3"/>
  <c r="P52" i="1"/>
  <c r="H99" i="6"/>
  <c r="N99" i="6" s="1"/>
  <c r="N96" i="6"/>
  <c r="N98" i="6"/>
  <c r="J94" i="5" l="1"/>
  <c r="K85" i="5"/>
  <c r="J85" i="5"/>
  <c r="J97" i="5" s="1"/>
  <c r="H85" i="5"/>
  <c r="G85" i="5"/>
  <c r="G97" i="5" s="1"/>
  <c r="F85" i="5"/>
  <c r="F90" i="5" s="1"/>
  <c r="D85" i="5"/>
  <c r="D90" i="5" s="1"/>
  <c r="C85" i="5"/>
  <c r="N83" i="5"/>
  <c r="M83" i="5"/>
  <c r="E83" i="5"/>
  <c r="E81" i="5"/>
  <c r="N80" i="5"/>
  <c r="M80" i="5"/>
  <c r="E80" i="5"/>
  <c r="N79" i="5"/>
  <c r="M79" i="5"/>
  <c r="E79" i="5"/>
  <c r="N78" i="5"/>
  <c r="M78" i="5"/>
  <c r="E78" i="5"/>
  <c r="A78" i="5"/>
  <c r="A79" i="5" s="1"/>
  <c r="A80" i="5" s="1"/>
  <c r="A83" i="5" s="1"/>
  <c r="N77" i="5"/>
  <c r="M77" i="5"/>
  <c r="E77" i="5"/>
  <c r="N75" i="5"/>
  <c r="M75" i="5"/>
  <c r="N74" i="5"/>
  <c r="M74" i="5"/>
  <c r="E74" i="5"/>
  <c r="N73" i="5"/>
  <c r="M73" i="5"/>
  <c r="E73" i="5"/>
  <c r="N72" i="5"/>
  <c r="M72" i="5"/>
  <c r="E72" i="5"/>
  <c r="N71" i="5"/>
  <c r="M71" i="5"/>
  <c r="E71" i="5"/>
  <c r="N70" i="5"/>
  <c r="M70" i="5"/>
  <c r="E70" i="5"/>
  <c r="A70" i="5"/>
  <c r="A71" i="5" s="1"/>
  <c r="A72" i="5" s="1"/>
  <c r="A73" i="5" s="1"/>
  <c r="A74" i="5" s="1"/>
  <c r="N69" i="5"/>
  <c r="M69" i="5"/>
  <c r="E69" i="5"/>
  <c r="K65" i="5"/>
  <c r="K96" i="5" s="1"/>
  <c r="J65" i="5"/>
  <c r="J96" i="5" s="1"/>
  <c r="I65" i="5"/>
  <c r="H65" i="5"/>
  <c r="H96" i="5" s="1"/>
  <c r="G65" i="5"/>
  <c r="G96" i="5" s="1"/>
  <c r="F65" i="5"/>
  <c r="D65" i="5"/>
  <c r="C65" i="5"/>
  <c r="N63" i="5"/>
  <c r="M63" i="5"/>
  <c r="E63" i="5"/>
  <c r="N62" i="5"/>
  <c r="M62" i="5"/>
  <c r="E62" i="5"/>
  <c r="N61" i="5"/>
  <c r="M61" i="5"/>
  <c r="E61" i="5"/>
  <c r="N60" i="5"/>
  <c r="M60" i="5"/>
  <c r="E60" i="5"/>
  <c r="N59" i="5"/>
  <c r="M59" i="5"/>
  <c r="E59" i="5"/>
  <c r="N58" i="5"/>
  <c r="M58" i="5"/>
  <c r="E58" i="5"/>
  <c r="A58" i="5"/>
  <c r="A59" i="5" s="1"/>
  <c r="A60" i="5" s="1"/>
  <c r="A61" i="5" s="1"/>
  <c r="A62" i="5" s="1"/>
  <c r="N57" i="5"/>
  <c r="M57" i="5"/>
  <c r="E57" i="5"/>
  <c r="K53" i="5"/>
  <c r="J53" i="5"/>
  <c r="H53" i="5"/>
  <c r="N53" i="5" s="1"/>
  <c r="G53" i="5"/>
  <c r="F53" i="5"/>
  <c r="D53" i="5"/>
  <c r="C53" i="5"/>
  <c r="N51" i="5"/>
  <c r="M51" i="5"/>
  <c r="E51" i="5"/>
  <c r="E50" i="5"/>
  <c r="N49" i="5"/>
  <c r="M49" i="5"/>
  <c r="E49" i="5"/>
  <c r="N48" i="5"/>
  <c r="M48" i="5"/>
  <c r="E48" i="5"/>
  <c r="N47" i="5"/>
  <c r="M47" i="5"/>
  <c r="E47" i="5"/>
  <c r="N46" i="5"/>
  <c r="M46" i="5"/>
  <c r="E46" i="5"/>
  <c r="E53" i="5" s="1"/>
  <c r="K42" i="5"/>
  <c r="K95" i="5" s="1"/>
  <c r="J42" i="5"/>
  <c r="H42" i="5"/>
  <c r="N42" i="5" s="1"/>
  <c r="G42" i="5"/>
  <c r="G95" i="5" s="1"/>
  <c r="F42" i="5"/>
  <c r="D42" i="5"/>
  <c r="C42" i="5"/>
  <c r="N40" i="5"/>
  <c r="M40" i="5"/>
  <c r="E40" i="5"/>
  <c r="N39" i="5"/>
  <c r="M39" i="5"/>
  <c r="E39" i="5"/>
  <c r="N38" i="5"/>
  <c r="M38" i="5"/>
  <c r="E38" i="5"/>
  <c r="N37" i="5"/>
  <c r="M37" i="5"/>
  <c r="E37" i="5"/>
  <c r="N36" i="5"/>
  <c r="M36" i="5"/>
  <c r="E36" i="5"/>
  <c r="N35" i="5"/>
  <c r="M35" i="5"/>
  <c r="E35" i="5"/>
  <c r="N34" i="5"/>
  <c r="M34" i="5"/>
  <c r="E34" i="5"/>
  <c r="N33" i="5"/>
  <c r="M33" i="5"/>
  <c r="E33" i="5"/>
  <c r="E32" i="5"/>
  <c r="N31" i="5"/>
  <c r="M31" i="5"/>
  <c r="E31" i="5"/>
  <c r="A31" i="5"/>
  <c r="A32" i="5" s="1"/>
  <c r="A33" i="5" s="1"/>
  <c r="A34" i="5" s="1"/>
  <c r="A35" i="5" s="1"/>
  <c r="A36" i="5" s="1"/>
  <c r="A37" i="5" s="1"/>
  <c r="A38" i="5" s="1"/>
  <c r="A39" i="5" s="1"/>
  <c r="A40" i="5" s="1"/>
  <c r="N30" i="5"/>
  <c r="M30" i="5"/>
  <c r="E30" i="5"/>
  <c r="N27" i="5"/>
  <c r="M27" i="5"/>
  <c r="E27" i="5"/>
  <c r="N26" i="5"/>
  <c r="M26" i="5"/>
  <c r="E26" i="5"/>
  <c r="N25" i="5"/>
  <c r="M25" i="5"/>
  <c r="E25" i="5"/>
  <c r="N24" i="5"/>
  <c r="M24" i="5"/>
  <c r="E24" i="5"/>
  <c r="N23" i="5"/>
  <c r="M23" i="5"/>
  <c r="E23" i="5"/>
  <c r="N22" i="5"/>
  <c r="M22" i="5"/>
  <c r="E22" i="5"/>
  <c r="N21" i="5"/>
  <c r="M21" i="5"/>
  <c r="E21" i="5"/>
  <c r="N20" i="5"/>
  <c r="M20" i="5"/>
  <c r="E20" i="5"/>
  <c r="N19" i="5"/>
  <c r="M19" i="5"/>
  <c r="E19" i="5"/>
  <c r="N18" i="5"/>
  <c r="M18" i="5"/>
  <c r="E18" i="5"/>
  <c r="N17" i="5"/>
  <c r="M17" i="5"/>
  <c r="E17" i="5"/>
  <c r="E16" i="5"/>
  <c r="N15" i="5"/>
  <c r="M15" i="5"/>
  <c r="E15" i="5"/>
  <c r="N14" i="5"/>
  <c r="M14" i="5"/>
  <c r="E14" i="5"/>
  <c r="N13" i="5"/>
  <c r="M13" i="5"/>
  <c r="E13" i="5"/>
  <c r="N12" i="5"/>
  <c r="M12" i="5"/>
  <c r="E12" i="5"/>
  <c r="N11" i="5"/>
  <c r="M11" i="5"/>
  <c r="E11" i="5"/>
  <c r="N10" i="5"/>
  <c r="M10" i="5"/>
  <c r="E10" i="5"/>
  <c r="N9" i="5"/>
  <c r="M9" i="5"/>
  <c r="E9" i="5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N8" i="5"/>
  <c r="M8" i="5"/>
  <c r="E8" i="5"/>
  <c r="N96" i="5" l="1"/>
  <c r="K90" i="5"/>
  <c r="M53" i="5"/>
  <c r="E65" i="5"/>
  <c r="C90" i="5"/>
  <c r="H90" i="5"/>
  <c r="N90" i="5" s="1"/>
  <c r="E85" i="5"/>
  <c r="E90" i="5" s="1"/>
  <c r="E42" i="5"/>
  <c r="J95" i="5"/>
  <c r="J98" i="5" s="1"/>
  <c r="M97" i="5"/>
  <c r="G98" i="5"/>
  <c r="M98" i="5" s="1"/>
  <c r="M95" i="5"/>
  <c r="M96" i="5"/>
  <c r="M42" i="5"/>
  <c r="N65" i="5"/>
  <c r="M85" i="5"/>
  <c r="G90" i="5"/>
  <c r="J90" i="5"/>
  <c r="H95" i="5"/>
  <c r="H97" i="5"/>
  <c r="K97" i="5"/>
  <c r="K98" i="5" s="1"/>
  <c r="M65" i="5"/>
  <c r="N85" i="5"/>
  <c r="M90" i="5" l="1"/>
  <c r="H98" i="5"/>
  <c r="N98" i="5" s="1"/>
  <c r="N95" i="5"/>
  <c r="N97" i="5"/>
  <c r="J94" i="4" l="1"/>
  <c r="K85" i="4"/>
  <c r="J85" i="4"/>
  <c r="J97" i="4" s="1"/>
  <c r="H85" i="4"/>
  <c r="H90" i="4" s="1"/>
  <c r="G85" i="4"/>
  <c r="G97" i="4" s="1"/>
  <c r="F85" i="4"/>
  <c r="D85" i="4"/>
  <c r="D90" i="4" s="1"/>
  <c r="C85" i="4"/>
  <c r="C90" i="4" s="1"/>
  <c r="N83" i="4"/>
  <c r="M83" i="4"/>
  <c r="E83" i="4"/>
  <c r="E81" i="4"/>
  <c r="N80" i="4"/>
  <c r="M80" i="4"/>
  <c r="E80" i="4"/>
  <c r="N79" i="4"/>
  <c r="M79" i="4"/>
  <c r="E79" i="4"/>
  <c r="N78" i="4"/>
  <c r="M78" i="4"/>
  <c r="E78" i="4"/>
  <c r="A78" i="4"/>
  <c r="A79" i="4" s="1"/>
  <c r="A80" i="4" s="1"/>
  <c r="A83" i="4" s="1"/>
  <c r="N77" i="4"/>
  <c r="M77" i="4"/>
  <c r="E77" i="4"/>
  <c r="N75" i="4"/>
  <c r="M75" i="4"/>
  <c r="N74" i="4"/>
  <c r="M74" i="4"/>
  <c r="E74" i="4"/>
  <c r="N73" i="4"/>
  <c r="M73" i="4"/>
  <c r="E73" i="4"/>
  <c r="N72" i="4"/>
  <c r="M72" i="4"/>
  <c r="E72" i="4"/>
  <c r="N71" i="4"/>
  <c r="M71" i="4"/>
  <c r="E71" i="4"/>
  <c r="N70" i="4"/>
  <c r="M70" i="4"/>
  <c r="E70" i="4"/>
  <c r="A70" i="4"/>
  <c r="A71" i="4" s="1"/>
  <c r="A72" i="4" s="1"/>
  <c r="A73" i="4" s="1"/>
  <c r="A74" i="4" s="1"/>
  <c r="N69" i="4"/>
  <c r="M69" i="4"/>
  <c r="E69" i="4"/>
  <c r="K65" i="4"/>
  <c r="K96" i="4" s="1"/>
  <c r="J65" i="4"/>
  <c r="J96" i="4" s="1"/>
  <c r="I65" i="4"/>
  <c r="H65" i="4"/>
  <c r="H96" i="4" s="1"/>
  <c r="G65" i="4"/>
  <c r="G96" i="4" s="1"/>
  <c r="F65" i="4"/>
  <c r="D65" i="4"/>
  <c r="C65" i="4"/>
  <c r="N63" i="4"/>
  <c r="M63" i="4"/>
  <c r="E63" i="4"/>
  <c r="N62" i="4"/>
  <c r="M62" i="4"/>
  <c r="E62" i="4"/>
  <c r="N61" i="4"/>
  <c r="M61" i="4"/>
  <c r="E61" i="4"/>
  <c r="N60" i="4"/>
  <c r="M60" i="4"/>
  <c r="E60" i="4"/>
  <c r="N59" i="4"/>
  <c r="M59" i="4"/>
  <c r="E59" i="4"/>
  <c r="N58" i="4"/>
  <c r="M58" i="4"/>
  <c r="E58" i="4"/>
  <c r="A58" i="4"/>
  <c r="A59" i="4" s="1"/>
  <c r="A60" i="4" s="1"/>
  <c r="A61" i="4" s="1"/>
  <c r="A62" i="4" s="1"/>
  <c r="N57" i="4"/>
  <c r="M57" i="4"/>
  <c r="E57" i="4"/>
  <c r="E65" i="4" s="1"/>
  <c r="K53" i="4"/>
  <c r="J53" i="4"/>
  <c r="H53" i="4"/>
  <c r="N53" i="4" s="1"/>
  <c r="G53" i="4"/>
  <c r="M53" i="4" s="1"/>
  <c r="F53" i="4"/>
  <c r="D53" i="4"/>
  <c r="C53" i="4"/>
  <c r="N51" i="4"/>
  <c r="M51" i="4"/>
  <c r="E51" i="4"/>
  <c r="E50" i="4"/>
  <c r="N49" i="4"/>
  <c r="M49" i="4"/>
  <c r="E49" i="4"/>
  <c r="N48" i="4"/>
  <c r="M48" i="4"/>
  <c r="E48" i="4"/>
  <c r="N47" i="4"/>
  <c r="M47" i="4"/>
  <c r="E47" i="4"/>
  <c r="N46" i="4"/>
  <c r="M46" i="4"/>
  <c r="E46" i="4"/>
  <c r="K42" i="4"/>
  <c r="K95" i="4" s="1"/>
  <c r="J42" i="4"/>
  <c r="J95" i="4" s="1"/>
  <c r="H42" i="4"/>
  <c r="G42" i="4"/>
  <c r="F42" i="4"/>
  <c r="D42" i="4"/>
  <c r="C42" i="4"/>
  <c r="N40" i="4"/>
  <c r="M40" i="4"/>
  <c r="E40" i="4"/>
  <c r="N39" i="4"/>
  <c r="M39" i="4"/>
  <c r="E39" i="4"/>
  <c r="N38" i="4"/>
  <c r="M38" i="4"/>
  <c r="E38" i="4"/>
  <c r="N37" i="4"/>
  <c r="M37" i="4"/>
  <c r="E37" i="4"/>
  <c r="N36" i="4"/>
  <c r="M36" i="4"/>
  <c r="E36" i="4"/>
  <c r="N35" i="4"/>
  <c r="M35" i="4"/>
  <c r="E35" i="4"/>
  <c r="N34" i="4"/>
  <c r="M34" i="4"/>
  <c r="E34" i="4"/>
  <c r="N33" i="4"/>
  <c r="M33" i="4"/>
  <c r="E33" i="4"/>
  <c r="E32" i="4"/>
  <c r="N31" i="4"/>
  <c r="M31" i="4"/>
  <c r="E31" i="4"/>
  <c r="A31" i="4"/>
  <c r="A32" i="4" s="1"/>
  <c r="A33" i="4" s="1"/>
  <c r="A34" i="4" s="1"/>
  <c r="A35" i="4" s="1"/>
  <c r="A36" i="4" s="1"/>
  <c r="A37" i="4" s="1"/>
  <c r="A38" i="4" s="1"/>
  <c r="A39" i="4" s="1"/>
  <c r="A40" i="4" s="1"/>
  <c r="N30" i="4"/>
  <c r="M30" i="4"/>
  <c r="E30" i="4"/>
  <c r="N27" i="4"/>
  <c r="M27" i="4"/>
  <c r="E27" i="4"/>
  <c r="N26" i="4"/>
  <c r="M26" i="4"/>
  <c r="E26" i="4"/>
  <c r="N25" i="4"/>
  <c r="M25" i="4"/>
  <c r="E25" i="4"/>
  <c r="N24" i="4"/>
  <c r="M24" i="4"/>
  <c r="E24" i="4"/>
  <c r="N23" i="4"/>
  <c r="M23" i="4"/>
  <c r="E23" i="4"/>
  <c r="N22" i="4"/>
  <c r="M22" i="4"/>
  <c r="E22" i="4"/>
  <c r="N21" i="4"/>
  <c r="M21" i="4"/>
  <c r="E21" i="4"/>
  <c r="N20" i="4"/>
  <c r="M20" i="4"/>
  <c r="E20" i="4"/>
  <c r="N19" i="4"/>
  <c r="M19" i="4"/>
  <c r="E19" i="4"/>
  <c r="N18" i="4"/>
  <c r="M18" i="4"/>
  <c r="E18" i="4"/>
  <c r="N17" i="4"/>
  <c r="M17" i="4"/>
  <c r="E17" i="4"/>
  <c r="E16" i="4"/>
  <c r="N15" i="4"/>
  <c r="M15" i="4"/>
  <c r="E15" i="4"/>
  <c r="N14" i="4"/>
  <c r="M14" i="4"/>
  <c r="E14" i="4"/>
  <c r="N13" i="4"/>
  <c r="M13" i="4"/>
  <c r="E13" i="4"/>
  <c r="N12" i="4"/>
  <c r="M12" i="4"/>
  <c r="E12" i="4"/>
  <c r="N11" i="4"/>
  <c r="M11" i="4"/>
  <c r="E11" i="4"/>
  <c r="N10" i="4"/>
  <c r="M10" i="4"/>
  <c r="E10" i="4"/>
  <c r="N9" i="4"/>
  <c r="M9" i="4"/>
  <c r="E9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N8" i="4"/>
  <c r="M8" i="4"/>
  <c r="E8" i="4"/>
  <c r="G95" i="4" l="1"/>
  <c r="N42" i="4"/>
  <c r="N96" i="4"/>
  <c r="E85" i="4"/>
  <c r="F90" i="4"/>
  <c r="K90" i="4"/>
  <c r="N90" i="4"/>
  <c r="E53" i="4"/>
  <c r="E42" i="4"/>
  <c r="J98" i="4"/>
  <c r="M97" i="4"/>
  <c r="G98" i="4"/>
  <c r="M95" i="4"/>
  <c r="M96" i="4"/>
  <c r="E90" i="4"/>
  <c r="M42" i="4"/>
  <c r="N65" i="4"/>
  <c r="M85" i="4"/>
  <c r="G90" i="4"/>
  <c r="M90" i="4" s="1"/>
  <c r="J90" i="4"/>
  <c r="H95" i="4"/>
  <c r="H97" i="4"/>
  <c r="K97" i="4"/>
  <c r="K98" i="4" s="1"/>
  <c r="M65" i="4"/>
  <c r="N85" i="4"/>
  <c r="M98" i="4" l="1"/>
  <c r="H98" i="4"/>
  <c r="N98" i="4" s="1"/>
  <c r="N95" i="4"/>
  <c r="N97" i="4"/>
</calcChain>
</file>

<file path=xl/sharedStrings.xml><?xml version="1.0" encoding="utf-8"?>
<sst xmlns="http://schemas.openxmlformats.org/spreadsheetml/2006/main" count="824" uniqueCount="121">
  <si>
    <t>NO</t>
  </si>
  <si>
    <t>NAMA BAGIAN</t>
  </si>
  <si>
    <t>Jml Kary</t>
  </si>
  <si>
    <t>TOTAL REALISASI</t>
  </si>
  <si>
    <t>BUDGET JANUARI</t>
  </si>
  <si>
    <t>% REALISASI</t>
  </si>
  <si>
    <t>B</t>
  </si>
  <si>
    <t>H</t>
  </si>
  <si>
    <t>Jml</t>
  </si>
  <si>
    <t>Jml kary yg lembur</t>
  </si>
  <si>
    <t>Jml Jam lembur</t>
  </si>
  <si>
    <t>Jml Upah Lembur</t>
  </si>
  <si>
    <t>% Jam Lembur</t>
  </si>
  <si>
    <t>% Upah lembur</t>
  </si>
  <si>
    <t>ASS. MULTI LINE 1</t>
  </si>
  <si>
    <t xml:space="preserve">ASS. MULTI LINE 2 </t>
  </si>
  <si>
    <t>ASS. MULTI LINE 3</t>
  </si>
  <si>
    <t>ASS. NURSING BED</t>
  </si>
  <si>
    <t>ASS PROJECT LINE 1</t>
  </si>
  <si>
    <t>ASS PROJECT LINE 2</t>
  </si>
  <si>
    <t>ASS PROJECT LINE 3</t>
  </si>
  <si>
    <t>ASS SPECIAL ORDER 1</t>
  </si>
  <si>
    <t>ASS SPECIAL ORDER 2</t>
  </si>
  <si>
    <t>ASS. YAMATO LINE 1</t>
  </si>
  <si>
    <t>ASS. YAMATO LINE 2</t>
  </si>
  <si>
    <t>ASS. YAMATO LINE 3</t>
  </si>
  <si>
    <t>ASS. BAROS LINE 1</t>
  </si>
  <si>
    <t>ASS. BAROS LINE 2</t>
  </si>
  <si>
    <t>ASS. BAROS LINE 3</t>
  </si>
  <si>
    <t>CAT</t>
  </si>
  <si>
    <t>C-PRO</t>
  </si>
  <si>
    <t>K. NURSING BED</t>
  </si>
  <si>
    <t>CHROME  :</t>
  </si>
  <si>
    <t>* CHROME SHIFT</t>
  </si>
  <si>
    <t>* CHROME NON SHIFT</t>
  </si>
  <si>
    <t>K. SPECIAL ORDER</t>
  </si>
  <si>
    <t>KONST. MULTI LAS MANUAL</t>
  </si>
  <si>
    <t>KONST. MULTI LAS ROBOT</t>
  </si>
  <si>
    <t>KONST. MULTI BENDING</t>
  </si>
  <si>
    <t>NAILING</t>
  </si>
  <si>
    <t>POLES</t>
  </si>
  <si>
    <t>RANGKA COSMO</t>
  </si>
  <si>
    <t>STAFF PRODUKSI</t>
  </si>
  <si>
    <t>WOOD</t>
  </si>
  <si>
    <t>YA. &amp; COSMO BENDING</t>
  </si>
  <si>
    <t>MSD</t>
  </si>
  <si>
    <t>JUMLAH - PROD LGSG</t>
  </si>
  <si>
    <t>ENG-ETD</t>
  </si>
  <si>
    <t>ENG-WS</t>
  </si>
  <si>
    <t>ENG R &amp; M</t>
  </si>
  <si>
    <t>GUDANG PUSAT</t>
  </si>
  <si>
    <t>PPIC / IC</t>
  </si>
  <si>
    <t>QUALITY CONTROL</t>
  </si>
  <si>
    <t>JUMLAH - PROD TDK LGSG</t>
  </si>
  <si>
    <t>ASS</t>
  </si>
  <si>
    <t>MARKETING</t>
  </si>
  <si>
    <t>SALES</t>
  </si>
  <si>
    <t>EXPEDISI</t>
  </si>
  <si>
    <t>MARKETING EKSPORT</t>
  </si>
  <si>
    <t>AS PROJECT</t>
  </si>
  <si>
    <t>R &amp; D</t>
  </si>
  <si>
    <t>JUMLAH - PENJ</t>
  </si>
  <si>
    <t>ACCOUNTING</t>
  </si>
  <si>
    <t>COST ACCOUNTING</t>
  </si>
  <si>
    <t>FINANCE</t>
  </si>
  <si>
    <t>HC &amp; GA</t>
  </si>
  <si>
    <t>IT</t>
  </si>
  <si>
    <t>KEAMANAN  :</t>
  </si>
  <si>
    <t>* KEAMANAN SHIFT</t>
  </si>
  <si>
    <t>* KEAMANAN NON SHIFT</t>
  </si>
  <si>
    <t>KERNET</t>
  </si>
  <si>
    <t>PEMBELIAN</t>
  </si>
  <si>
    <t>PU UMUM</t>
  </si>
  <si>
    <t>PENGEMUDI :</t>
  </si>
  <si>
    <t>* PENGEMUDI REGULER</t>
  </si>
  <si>
    <t>* PENGEMUDI GOLF</t>
  </si>
  <si>
    <t>INTERNAL AUDIT</t>
  </si>
  <si>
    <t>JUMLAH - ADM</t>
  </si>
  <si>
    <t>TOTAL</t>
  </si>
  <si>
    <t>REALISASI:</t>
  </si>
  <si>
    <t>JAM LEMBUR</t>
  </si>
  <si>
    <t>UPAH LEMBUR</t>
  </si>
  <si>
    <t>UPAH LANGSUNG + UTL</t>
  </si>
  <si>
    <t>PENJUALAN</t>
  </si>
  <si>
    <t>ADMINISTRASI</t>
  </si>
  <si>
    <t>REKAP REALISASI LEMBUR BUDGET FEBRUARI 2022 (Cut Off)</t>
  </si>
  <si>
    <t>BUDGET FEBRUARI</t>
  </si>
  <si>
    <t>BUDGET APRIL</t>
  </si>
  <si>
    <t>BUDGET MEI</t>
  </si>
  <si>
    <t>ASS. BAROS LINE 4</t>
  </si>
  <si>
    <t>BUDGET JUNI</t>
  </si>
  <si>
    <t>REKAP REALISASI LEMBUR BUDGET APRIL 2022 (Takwim)</t>
  </si>
  <si>
    <t>PERIODE: 1 April s/d 30 April 2022</t>
  </si>
  <si>
    <t>Periode:  1 April s/d 30 April 2022</t>
  </si>
  <si>
    <t>REKAP REALISASI LEMBUR BUDGET MEI 2022 (Takwim)</t>
  </si>
  <si>
    <t>PERIODE: 1 s/d 31 Mei 2022</t>
  </si>
  <si>
    <t>Periode:  1 Mei s/d 31 Mei 2022</t>
  </si>
  <si>
    <t>REKAP REALISASI LEMBUR BUDGET JUNI 2022 (Takwim)</t>
  </si>
  <si>
    <t>PERIODE: 1 s/d 30 Juni 2022</t>
  </si>
  <si>
    <t>Periode: 1 Juni /d 30 Juni</t>
  </si>
  <si>
    <t>REKAP REALISASI LEMBUR BUDGET JANUARI 2022 (Takwim)</t>
  </si>
  <si>
    <t>PERIODE: 1 Januari 2022 sd 31 Januari 2022</t>
  </si>
  <si>
    <t>Periode: 1 s/d 31 Jan 2022</t>
  </si>
  <si>
    <t>PERIODE: 1 s/d 28 Februari 2022</t>
  </si>
  <si>
    <t>Periode: 1 s/d 28 Feb 2022</t>
  </si>
  <si>
    <t>REKAP REALISASI LEMBUR BUDGET MARET 2022 (Takwim)</t>
  </si>
  <si>
    <t>PERIODE: 1 s/d 31 Maret 2022</t>
  </si>
  <si>
    <t>Periode: 1 s/d 31 Mar</t>
  </si>
  <si>
    <t>BUDGET MARET</t>
  </si>
  <si>
    <t>REKAP REALISASI LEMBUR BUDGET JULI 2022 (Takwim)</t>
  </si>
  <si>
    <t>PERIODE: 1 Juli s/d 31 Juli 2022</t>
  </si>
  <si>
    <t>BUDGET JULI</t>
  </si>
  <si>
    <t>Periode: 1 Juli /d 31 Juli</t>
  </si>
  <si>
    <t>REKAP REALISASI LEMBUR BUDGET AGUSTUS 2022 (Takwim)</t>
  </si>
  <si>
    <t>PERIODE: 1 Agustus s/d 31 Agustus 2022</t>
  </si>
  <si>
    <t>BUDGET AGUSTUS</t>
  </si>
  <si>
    <t>Periode: 1 Agustus /d 31 Agustus 2022</t>
  </si>
  <si>
    <t>REKAP REALISASI LEMBUR TAKWIM SEPTEMBER 2022</t>
  </si>
  <si>
    <t>PERIODE: 1 September s/d 30 September 2022</t>
  </si>
  <si>
    <t>BUDGET SEPTEMBER</t>
  </si>
  <si>
    <t>Periode: 1 Sept /d 30 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</si>
</sst>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3" formatCode="_(* #,##0.00_);_(* \(#,##0.00\);_(* &quot;-&quot;??_);_(@_)"/>
    <numFmt numFmtId="164" formatCode="#,##0;\-#,##0"/>
    <numFmt numFmtId="165" formatCode="#,##0.0_);\(#,##0.0\)"/>
    <numFmt numFmtId="166" formatCode="_(* #,##0_);_(* \(#,##0\);_(* \-??_);_(@_)"/>
    <numFmt numFmtId="167" formatCode="_(* #,##0_);_(* \(#,##0\);_(* \-_);_(@_)"/>
    <numFmt numFmtId="168" formatCode="_(* #,##0.0_);_(* \(#,##0.0\);_(* \-??_);_(@_)"/>
    <numFmt numFmtId="169" formatCode="#,##0.0;\-#,##0.0"/>
    <numFmt numFmtId="170" formatCode="#,##0.0"/>
    <numFmt numFmtId="171" formatCode="_(* #,##0.0_);_(* \(#,##0.0\);_(* \-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  <charset val="1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color indexed="8"/>
      <name val="Calibri"/>
      <family val="2"/>
    </font>
    <font>
      <sz val="10"/>
      <name val="Mangal"/>
      <family val="2"/>
    </font>
    <font>
      <sz val="9"/>
      <name val="Arial"/>
      <family val="2"/>
    </font>
    <font>
      <sz val="11"/>
      <color indexed="8"/>
      <name val="Calibri"/>
      <family val="2"/>
      <charset val="1"/>
    </font>
    <font>
      <sz val="9"/>
      <color indexed="8"/>
      <name val="Calibri"/>
      <family val="2"/>
    </font>
    <font>
      <b/>
      <sz val="9"/>
      <name val="Arial"/>
      <family val="2"/>
    </font>
    <font>
      <b/>
      <sz val="11"/>
      <name val="Calibri"/>
      <family val="2"/>
    </font>
    <font>
      <b/>
      <sz val="12"/>
      <color indexed="8"/>
      <name val="Calibri"/>
      <family val="2"/>
    </font>
    <font>
      <sz val="9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29"/>
      </patternFill>
    </fill>
    <fill>
      <patternFill patternType="solid">
        <fgColor indexed="50"/>
        <bgColor indexed="55"/>
      </patternFill>
    </fill>
    <fill>
      <patternFill patternType="solid">
        <fgColor indexed="22"/>
        <bgColor indexed="47"/>
      </patternFill>
    </fill>
    <fill>
      <patternFill patternType="solid">
        <fgColor indexed="40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23"/>
        <bgColor indexed="5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2"/>
      </patternFill>
    </fill>
    <fill>
      <patternFill patternType="solid">
        <fgColor rgb="FFF1DFB1"/>
        <bgColor indexed="22"/>
      </patternFill>
    </fill>
    <fill>
      <patternFill patternType="solid">
        <fgColor rgb="FFDAE3BB"/>
        <bgColor indexed="31"/>
      </patternFill>
    </fill>
  </fills>
  <borders count="7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double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9" fillId="0" borderId="0" applyFill="0" applyBorder="0" applyAlignment="0" applyProtection="0"/>
    <xf numFmtId="41" fontId="1" fillId="0" borderId="0" applyFont="0" applyFill="0" applyBorder="0" applyAlignment="0" applyProtection="0"/>
  </cellStyleXfs>
  <cellXfs count="376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3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/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4" borderId="22" xfId="0" applyFont="1" applyFill="1" applyBorder="1"/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165" fontId="0" fillId="0" borderId="24" xfId="0" applyNumberFormat="1" applyBorder="1"/>
    <xf numFmtId="164" fontId="0" fillId="0" borderId="27" xfId="0" applyNumberFormat="1" applyBorder="1"/>
    <xf numFmtId="166" fontId="10" fillId="0" borderId="26" xfId="1" applyNumberFormat="1" applyFont="1" applyFill="1" applyBorder="1" applyAlignment="1" applyProtection="1"/>
    <xf numFmtId="166" fontId="10" fillId="0" borderId="25" xfId="1" applyNumberFormat="1" applyFont="1" applyFill="1" applyBorder="1" applyAlignment="1" applyProtection="1"/>
    <xf numFmtId="9" fontId="11" fillId="0" borderId="21" xfId="2" applyFont="1" applyFill="1" applyBorder="1" applyAlignment="1" applyProtection="1"/>
    <xf numFmtId="9" fontId="11" fillId="0" borderId="27" xfId="2" applyFont="1" applyFill="1" applyBorder="1" applyAlignment="1" applyProtection="1"/>
    <xf numFmtId="0" fontId="0" fillId="4" borderId="30" xfId="0" applyFont="1" applyFill="1" applyBorder="1"/>
    <xf numFmtId="164" fontId="0" fillId="0" borderId="31" xfId="0" applyNumberFormat="1" applyBorder="1"/>
    <xf numFmtId="164" fontId="0" fillId="0" borderId="32" xfId="0" applyNumberFormat="1" applyBorder="1"/>
    <xf numFmtId="167" fontId="11" fillId="0" borderId="0" xfId="4" applyNumberFormat="1" applyFont="1" applyFill="1" applyBorder="1" applyAlignment="1" applyProtection="1"/>
    <xf numFmtId="0" fontId="0" fillId="0" borderId="0" xfId="0" applyFill="1"/>
    <xf numFmtId="0" fontId="11" fillId="5" borderId="21" xfId="2" applyNumberFormat="1" applyFont="1" applyFill="1" applyBorder="1" applyAlignment="1" applyProtection="1"/>
    <xf numFmtId="9" fontId="11" fillId="5" borderId="27" xfId="2" applyFont="1" applyFill="1" applyBorder="1" applyAlignment="1" applyProtection="1"/>
    <xf numFmtId="0" fontId="0" fillId="0" borderId="21" xfId="0" applyFill="1" applyBorder="1" applyAlignment="1">
      <alignment horizontal="center"/>
    </xf>
    <xf numFmtId="0" fontId="0" fillId="0" borderId="22" xfId="0" applyFont="1" applyFill="1" applyBorder="1" applyAlignment="1">
      <alignment horizontal="left"/>
    </xf>
    <xf numFmtId="164" fontId="0" fillId="0" borderId="23" xfId="0" applyNumberFormat="1" applyFill="1" applyBorder="1"/>
    <xf numFmtId="164" fontId="0" fillId="0" borderId="24" xfId="0" applyNumberFormat="1" applyFill="1" applyBorder="1"/>
    <xf numFmtId="164" fontId="0" fillId="0" borderId="25" xfId="0" applyNumberFormat="1" applyFill="1" applyBorder="1"/>
    <xf numFmtId="164" fontId="0" fillId="0" borderId="27" xfId="0" applyNumberFormat="1" applyFill="1" applyBorder="1"/>
    <xf numFmtId="0" fontId="0" fillId="4" borderId="22" xfId="0" applyFont="1" applyFill="1" applyBorder="1" applyAlignment="1">
      <alignment horizontal="left"/>
    </xf>
    <xf numFmtId="168" fontId="12" fillId="0" borderId="26" xfId="1" applyNumberFormat="1" applyFont="1" applyFill="1" applyBorder="1" applyAlignment="1" applyProtection="1"/>
    <xf numFmtId="168" fontId="12" fillId="0" borderId="25" xfId="1" applyNumberFormat="1" applyFont="1" applyFill="1" applyBorder="1" applyAlignment="1" applyProtection="1"/>
    <xf numFmtId="0" fontId="0" fillId="0" borderId="12" xfId="0" applyBorder="1" applyAlignment="1">
      <alignment horizontal="center"/>
    </xf>
    <xf numFmtId="0" fontId="0" fillId="4" borderId="33" xfId="0" applyFont="1" applyFill="1" applyBorder="1"/>
    <xf numFmtId="164" fontId="0" fillId="0" borderId="18" xfId="0" applyNumberFormat="1" applyBorder="1"/>
    <xf numFmtId="164" fontId="0" fillId="0" borderId="14" xfId="0" applyNumberFormat="1" applyBorder="1"/>
    <xf numFmtId="164" fontId="0" fillId="0" borderId="17" xfId="0" applyNumberFormat="1" applyBorder="1"/>
    <xf numFmtId="166" fontId="11" fillId="6" borderId="21" xfId="2" applyNumberFormat="1" applyFont="1" applyFill="1" applyBorder="1" applyAlignment="1" applyProtection="1"/>
    <xf numFmtId="9" fontId="11" fillId="6" borderId="27" xfId="2" applyFont="1" applyFill="1" applyBorder="1" applyAlignment="1" applyProtection="1"/>
    <xf numFmtId="164" fontId="0" fillId="0" borderId="34" xfId="0" applyNumberFormat="1" applyFill="1" applyBorder="1" applyAlignment="1">
      <alignment horizontal="right"/>
    </xf>
    <xf numFmtId="168" fontId="13" fillId="0" borderId="25" xfId="1" applyNumberFormat="1" applyFont="1" applyFill="1" applyBorder="1" applyAlignment="1" applyProtection="1"/>
    <xf numFmtId="9" fontId="11" fillId="0" borderId="12" xfId="2" applyFont="1" applyFill="1" applyBorder="1" applyAlignment="1" applyProtection="1"/>
    <xf numFmtId="9" fontId="11" fillId="0" borderId="17" xfId="2" applyFont="1" applyFill="1" applyBorder="1" applyAlignment="1" applyProtection="1"/>
    <xf numFmtId="164" fontId="0" fillId="0" borderId="34" xfId="0" applyNumberFormat="1" applyBorder="1"/>
    <xf numFmtId="165" fontId="0" fillId="0" borderId="14" xfId="0" applyNumberFormat="1" applyBorder="1"/>
    <xf numFmtId="166" fontId="11" fillId="5" borderId="21" xfId="2" applyNumberFormat="1" applyFont="1" applyFill="1" applyBorder="1" applyAlignment="1" applyProtection="1"/>
    <xf numFmtId="168" fontId="13" fillId="0" borderId="26" xfId="1" applyNumberFormat="1" applyFont="1" applyFill="1" applyBorder="1" applyAlignment="1" applyProtection="1"/>
    <xf numFmtId="0" fontId="0" fillId="0" borderId="35" xfId="0" applyBorder="1" applyAlignment="1">
      <alignment horizontal="center"/>
    </xf>
    <xf numFmtId="0" fontId="0" fillId="0" borderId="30" xfId="0" applyBorder="1"/>
    <xf numFmtId="164" fontId="0" fillId="0" borderId="36" xfId="0" applyNumberFormat="1" applyBorder="1"/>
    <xf numFmtId="164" fontId="0" fillId="0" borderId="37" xfId="0" applyNumberFormat="1" applyBorder="1"/>
    <xf numFmtId="165" fontId="0" fillId="0" borderId="32" xfId="0" applyNumberFormat="1" applyBorder="1"/>
    <xf numFmtId="164" fontId="0" fillId="0" borderId="38" xfId="0" applyNumberFormat="1" applyBorder="1"/>
    <xf numFmtId="168" fontId="12" fillId="0" borderId="39" xfId="1" applyNumberFormat="1" applyFont="1" applyFill="1" applyBorder="1" applyAlignment="1" applyProtection="1"/>
    <xf numFmtId="168" fontId="12" fillId="0" borderId="40" xfId="1" applyNumberFormat="1" applyFont="1" applyFill="1" applyBorder="1" applyAlignment="1" applyProtection="1"/>
    <xf numFmtId="9" fontId="11" fillId="0" borderId="35" xfId="2" applyFont="1" applyFill="1" applyBorder="1" applyAlignment="1" applyProtection="1"/>
    <xf numFmtId="9" fontId="11" fillId="0" borderId="38" xfId="2" applyFont="1" applyFill="1" applyBorder="1" applyAlignment="1" applyProtection="1"/>
    <xf numFmtId="0" fontId="0" fillId="7" borderId="2" xfId="0" applyFill="1" applyBorder="1" applyAlignment="1">
      <alignment horizontal="center"/>
    </xf>
    <xf numFmtId="0" fontId="6" fillId="7" borderId="41" xfId="0" applyFont="1" applyFill="1" applyBorder="1" applyAlignment="1">
      <alignment horizontal="center"/>
    </xf>
    <xf numFmtId="164" fontId="6" fillId="7" borderId="42" xfId="0" applyNumberFormat="1" applyFont="1" applyFill="1" applyBorder="1"/>
    <xf numFmtId="164" fontId="6" fillId="7" borderId="43" xfId="0" applyNumberFormat="1" applyFont="1" applyFill="1" applyBorder="1"/>
    <xf numFmtId="164" fontId="6" fillId="7" borderId="44" xfId="0" applyNumberFormat="1" applyFont="1" applyFill="1" applyBorder="1"/>
    <xf numFmtId="164" fontId="6" fillId="7" borderId="45" xfId="0" applyNumberFormat="1" applyFont="1" applyFill="1" applyBorder="1"/>
    <xf numFmtId="165" fontId="6" fillId="7" borderId="43" xfId="0" applyNumberFormat="1" applyFont="1" applyFill="1" applyBorder="1"/>
    <xf numFmtId="164" fontId="6" fillId="7" borderId="46" xfId="0" applyNumberFormat="1" applyFont="1" applyFill="1" applyBorder="1"/>
    <xf numFmtId="164" fontId="6" fillId="7" borderId="47" xfId="0" applyNumberFormat="1" applyFont="1" applyFill="1" applyBorder="1"/>
    <xf numFmtId="164" fontId="6" fillId="7" borderId="47" xfId="0" applyNumberFormat="1" applyFont="1" applyFill="1" applyBorder="1" applyAlignment="1">
      <alignment horizontal="right"/>
    </xf>
    <xf numFmtId="164" fontId="6" fillId="7" borderId="2" xfId="0" applyNumberFormat="1" applyFont="1" applyFill="1" applyBorder="1" applyAlignment="1">
      <alignment horizontal="right"/>
    </xf>
    <xf numFmtId="9" fontId="6" fillId="7" borderId="2" xfId="2" applyFont="1" applyFill="1" applyBorder="1" applyAlignment="1" applyProtection="1"/>
    <xf numFmtId="9" fontId="6" fillId="7" borderId="46" xfId="2" applyFont="1" applyFill="1" applyBorder="1" applyAlignment="1" applyProtection="1"/>
    <xf numFmtId="0" fontId="0" fillId="0" borderId="33" xfId="0" applyBorder="1" applyAlignment="1">
      <alignment horizontal="right"/>
    </xf>
    <xf numFmtId="165" fontId="0" fillId="0" borderId="34" xfId="0" applyNumberFormat="1" applyBorder="1"/>
    <xf numFmtId="164" fontId="0" fillId="0" borderId="19" xfId="0" applyNumberFormat="1" applyBorder="1"/>
    <xf numFmtId="164" fontId="0" fillId="0" borderId="17" xfId="0" applyNumberFormat="1" applyFill="1" applyBorder="1"/>
    <xf numFmtId="0" fontId="0" fillId="0" borderId="22" xfId="0" applyBorder="1" applyAlignment="1">
      <alignment horizontal="right"/>
    </xf>
    <xf numFmtId="166" fontId="10" fillId="0" borderId="27" xfId="1" applyNumberFormat="1" applyFont="1" applyFill="1" applyBorder="1" applyAlignment="1" applyProtection="1"/>
    <xf numFmtId="9" fontId="11" fillId="0" borderId="25" xfId="2" applyFont="1" applyFill="1" applyBorder="1" applyAlignment="1" applyProtection="1"/>
    <xf numFmtId="0" fontId="0" fillId="0" borderId="33" xfId="0" applyBorder="1"/>
    <xf numFmtId="164" fontId="0" fillId="0" borderId="26" xfId="0" applyNumberFormat="1" applyFill="1" applyBorder="1" applyAlignment="1">
      <alignment horizontal="right"/>
    </xf>
    <xf numFmtId="166" fontId="13" fillId="0" borderId="25" xfId="1" applyNumberFormat="1" applyFont="1" applyFill="1" applyBorder="1" applyAlignment="1" applyProtection="1"/>
    <xf numFmtId="169" fontId="0" fillId="0" borderId="24" xfId="0" applyNumberFormat="1" applyBorder="1"/>
    <xf numFmtId="9" fontId="11" fillId="6" borderId="21" xfId="2" applyFont="1" applyFill="1" applyBorder="1" applyAlignment="1" applyProtection="1"/>
    <xf numFmtId="165" fontId="0" fillId="0" borderId="0" xfId="0" applyNumberFormat="1"/>
    <xf numFmtId="164" fontId="0" fillId="0" borderId="0" xfId="0" applyNumberFormat="1"/>
    <xf numFmtId="168" fontId="10" fillId="0" borderId="26" xfId="1" applyNumberFormat="1" applyFont="1" applyFill="1" applyBorder="1" applyAlignment="1" applyProtection="1"/>
    <xf numFmtId="168" fontId="10" fillId="0" borderId="25" xfId="1" applyNumberFormat="1" applyFont="1" applyFill="1" applyBorder="1" applyAlignment="1" applyProtection="1"/>
    <xf numFmtId="165" fontId="0" fillId="0" borderId="32" xfId="0" applyNumberFormat="1" applyBorder="1" applyAlignment="1">
      <alignment horizontal="right"/>
    </xf>
    <xf numFmtId="165" fontId="0" fillId="0" borderId="39" xfId="0" applyNumberFormat="1" applyFill="1" applyBorder="1" applyAlignment="1">
      <alignment horizontal="right"/>
    </xf>
    <xf numFmtId="164" fontId="0" fillId="0" borderId="40" xfId="0" applyNumberFormat="1" applyFill="1" applyBorder="1"/>
    <xf numFmtId="9" fontId="11" fillId="0" borderId="36" xfId="2" applyFont="1" applyFill="1" applyBorder="1" applyAlignment="1" applyProtection="1"/>
    <xf numFmtId="0" fontId="0" fillId="8" borderId="2" xfId="0" applyFill="1" applyBorder="1" applyAlignment="1">
      <alignment horizontal="center"/>
    </xf>
    <xf numFmtId="0" fontId="6" fillId="8" borderId="41" xfId="0" applyFont="1" applyFill="1" applyBorder="1" applyAlignment="1">
      <alignment horizontal="center"/>
    </xf>
    <xf numFmtId="164" fontId="6" fillId="8" borderId="42" xfId="0" applyNumberFormat="1" applyFont="1" applyFill="1" applyBorder="1"/>
    <xf numFmtId="164" fontId="6" fillId="8" borderId="43" xfId="0" applyNumberFormat="1" applyFont="1" applyFill="1" applyBorder="1"/>
    <xf numFmtId="164" fontId="6" fillId="8" borderId="44" xfId="0" applyNumberFormat="1" applyFont="1" applyFill="1" applyBorder="1"/>
    <xf numFmtId="164" fontId="6" fillId="8" borderId="47" xfId="0" applyNumberFormat="1" applyFont="1" applyFill="1" applyBorder="1"/>
    <xf numFmtId="165" fontId="6" fillId="8" borderId="42" xfId="0" applyNumberFormat="1" applyFont="1" applyFill="1" applyBorder="1"/>
    <xf numFmtId="164" fontId="6" fillId="8" borderId="46" xfId="0" applyNumberFormat="1" applyFont="1" applyFill="1" applyBorder="1"/>
    <xf numFmtId="169" fontId="6" fillId="8" borderId="43" xfId="0" applyNumberFormat="1" applyFont="1" applyFill="1" applyBorder="1" applyAlignment="1">
      <alignment horizontal="right"/>
    </xf>
    <xf numFmtId="164" fontId="6" fillId="8" borderId="2" xfId="0" applyNumberFormat="1" applyFont="1" applyFill="1" applyBorder="1"/>
    <xf numFmtId="9" fontId="6" fillId="8" borderId="2" xfId="2" applyFont="1" applyFill="1" applyBorder="1" applyAlignment="1" applyProtection="1"/>
    <xf numFmtId="9" fontId="6" fillId="8" borderId="46" xfId="2" applyFont="1" applyFill="1" applyBorder="1" applyAlignment="1" applyProtection="1"/>
    <xf numFmtId="170" fontId="0" fillId="0" borderId="0" xfId="0" applyNumberFormat="1"/>
    <xf numFmtId="164" fontId="0" fillId="0" borderId="15" xfId="0" applyNumberFormat="1" applyBorder="1"/>
    <xf numFmtId="165" fontId="0" fillId="0" borderId="14" xfId="0" applyNumberFormat="1" applyBorder="1" applyAlignment="1">
      <alignment horizontal="right"/>
    </xf>
    <xf numFmtId="165" fontId="0" fillId="0" borderId="26" xfId="0" applyNumberFormat="1" applyBorder="1"/>
    <xf numFmtId="165" fontId="0" fillId="0" borderId="24" xfId="0" applyNumberFormat="1" applyBorder="1" applyAlignment="1">
      <alignment horizontal="right"/>
    </xf>
    <xf numFmtId="166" fontId="10" fillId="9" borderId="26" xfId="1" applyNumberFormat="1" applyFont="1" applyFill="1" applyBorder="1" applyAlignment="1" applyProtection="1"/>
    <xf numFmtId="166" fontId="10" fillId="9" borderId="27" xfId="1" applyNumberFormat="1" applyFont="1" applyFill="1" applyBorder="1" applyAlignment="1" applyProtection="1"/>
    <xf numFmtId="165" fontId="0" fillId="0" borderId="26" xfId="0" applyNumberFormat="1" applyFill="1" applyBorder="1" applyAlignment="1">
      <alignment horizontal="right"/>
    </xf>
    <xf numFmtId="166" fontId="10" fillId="0" borderId="34" xfId="1" applyNumberFormat="1" applyFont="1" applyFill="1" applyBorder="1" applyAlignment="1" applyProtection="1"/>
    <xf numFmtId="166" fontId="10" fillId="0" borderId="17" xfId="1" applyNumberFormat="1" applyFont="1" applyFill="1" applyBorder="1" applyAlignment="1" applyProtection="1"/>
    <xf numFmtId="0" fontId="0" fillId="10" borderId="47" xfId="0" applyFill="1" applyBorder="1" applyAlignment="1">
      <alignment horizontal="center"/>
    </xf>
    <xf numFmtId="0" fontId="6" fillId="10" borderId="48" xfId="0" applyFont="1" applyFill="1" applyBorder="1" applyAlignment="1">
      <alignment horizontal="center"/>
    </xf>
    <xf numFmtId="164" fontId="6" fillId="10" borderId="42" xfId="0" applyNumberFormat="1" applyFont="1" applyFill="1" applyBorder="1"/>
    <xf numFmtId="164" fontId="6" fillId="10" borderId="43" xfId="0" applyNumberFormat="1" applyFont="1" applyFill="1" applyBorder="1"/>
    <xf numFmtId="165" fontId="6" fillId="10" borderId="47" xfId="0" applyNumberFormat="1" applyFont="1" applyFill="1" applyBorder="1"/>
    <xf numFmtId="165" fontId="6" fillId="10" borderId="43" xfId="0" applyNumberFormat="1" applyFont="1" applyFill="1" applyBorder="1"/>
    <xf numFmtId="165" fontId="6" fillId="10" borderId="46" xfId="0" applyNumberFormat="1" applyFont="1" applyFill="1" applyBorder="1"/>
    <xf numFmtId="164" fontId="6" fillId="10" borderId="2" xfId="0" applyNumberFormat="1" applyFont="1" applyFill="1" applyBorder="1"/>
    <xf numFmtId="164" fontId="6" fillId="10" borderId="47" xfId="0" applyNumberFormat="1" applyFont="1" applyFill="1" applyBorder="1"/>
    <xf numFmtId="9" fontId="6" fillId="10" borderId="47" xfId="2" applyNumberFormat="1" applyFont="1" applyFill="1" applyBorder="1" applyAlignment="1" applyProtection="1"/>
    <xf numFmtId="9" fontId="6" fillId="10" borderId="46" xfId="2" applyNumberFormat="1" applyFont="1" applyFill="1" applyBorder="1" applyAlignment="1" applyProtection="1"/>
    <xf numFmtId="165" fontId="0" fillId="0" borderId="28" xfId="0" applyNumberFormat="1" applyBorder="1"/>
    <xf numFmtId="165" fontId="0" fillId="0" borderId="27" xfId="0" applyNumberFormat="1" applyBorder="1"/>
    <xf numFmtId="9" fontId="11" fillId="5" borderId="21" xfId="2" applyFont="1" applyFill="1" applyBorder="1" applyAlignment="1" applyProtection="1"/>
    <xf numFmtId="0" fontId="0" fillId="0" borderId="22" xfId="0" applyFont="1" applyFill="1" applyBorder="1"/>
    <xf numFmtId="171" fontId="11" fillId="5" borderId="21" xfId="2" applyNumberFormat="1" applyFont="1" applyFill="1" applyBorder="1" applyAlignment="1" applyProtection="1"/>
    <xf numFmtId="0" fontId="0" fillId="0" borderId="30" xfId="0" applyFont="1" applyFill="1" applyBorder="1"/>
    <xf numFmtId="164" fontId="0" fillId="0" borderId="31" xfId="0" applyNumberFormat="1" applyFill="1" applyBorder="1"/>
    <xf numFmtId="164" fontId="0" fillId="0" borderId="32" xfId="0" applyNumberFormat="1" applyFill="1" applyBorder="1"/>
    <xf numFmtId="0" fontId="0" fillId="0" borderId="35" xfId="0" applyBorder="1"/>
    <xf numFmtId="0" fontId="0" fillId="11" borderId="2" xfId="0" applyFill="1" applyBorder="1"/>
    <xf numFmtId="0" fontId="6" fillId="11" borderId="41" xfId="0" applyFont="1" applyFill="1" applyBorder="1" applyAlignment="1">
      <alignment horizontal="center"/>
    </xf>
    <xf numFmtId="164" fontId="6" fillId="11" borderId="42" xfId="0" applyNumberFormat="1" applyFont="1" applyFill="1" applyBorder="1"/>
    <xf numFmtId="164" fontId="6" fillId="11" borderId="43" xfId="0" applyNumberFormat="1" applyFont="1" applyFill="1" applyBorder="1"/>
    <xf numFmtId="164" fontId="6" fillId="11" borderId="44" xfId="0" applyNumberFormat="1" applyFont="1" applyFill="1" applyBorder="1"/>
    <xf numFmtId="165" fontId="6" fillId="11" borderId="47" xfId="0" applyNumberFormat="1" applyFont="1" applyFill="1" applyBorder="1"/>
    <xf numFmtId="165" fontId="6" fillId="11" borderId="42" xfId="0" applyNumberFormat="1" applyFont="1" applyFill="1" applyBorder="1"/>
    <xf numFmtId="165" fontId="6" fillId="11" borderId="46" xfId="0" applyNumberFormat="1" applyFont="1" applyFill="1" applyBorder="1"/>
    <xf numFmtId="164" fontId="6" fillId="11" borderId="43" xfId="0" applyNumberFormat="1" applyFont="1" applyFill="1" applyBorder="1" applyAlignment="1">
      <alignment horizontal="right"/>
    </xf>
    <xf numFmtId="164" fontId="6" fillId="11" borderId="47" xfId="0" applyNumberFormat="1" applyFont="1" applyFill="1" applyBorder="1" applyAlignment="1">
      <alignment horizontal="right"/>
    </xf>
    <xf numFmtId="164" fontId="6" fillId="11" borderId="2" xfId="0" applyNumberFormat="1" applyFont="1" applyFill="1" applyBorder="1" applyAlignment="1">
      <alignment horizontal="right"/>
    </xf>
    <xf numFmtId="9" fontId="6" fillId="11" borderId="2" xfId="2" applyFont="1" applyFill="1" applyBorder="1" applyAlignment="1" applyProtection="1"/>
    <xf numFmtId="9" fontId="6" fillId="11" borderId="46" xfId="2" applyFont="1" applyFill="1" applyBorder="1" applyAlignment="1" applyProtection="1"/>
    <xf numFmtId="0" fontId="0" fillId="0" borderId="49" xfId="0" applyBorder="1"/>
    <xf numFmtId="165" fontId="0" fillId="0" borderId="19" xfId="0" applyNumberFormat="1" applyBorder="1"/>
    <xf numFmtId="165" fontId="0" fillId="0" borderId="13" xfId="0" applyNumberFormat="1" applyBorder="1" applyAlignment="1">
      <alignment horizontal="right"/>
    </xf>
    <xf numFmtId="164" fontId="0" fillId="0" borderId="20" xfId="0" applyNumberFormat="1" applyBorder="1"/>
    <xf numFmtId="9" fontId="11" fillId="0" borderId="49" xfId="2" applyFont="1" applyFill="1" applyBorder="1" applyAlignment="1" applyProtection="1"/>
    <xf numFmtId="9" fontId="11" fillId="0" borderId="50" xfId="2" applyFont="1" applyFill="1" applyBorder="1" applyAlignment="1" applyProtection="1"/>
    <xf numFmtId="0" fontId="0" fillId="0" borderId="21" xfId="0" applyBorder="1"/>
    <xf numFmtId="164" fontId="0" fillId="0" borderId="51" xfId="0" applyNumberFormat="1" applyBorder="1"/>
    <xf numFmtId="164" fontId="0" fillId="0" borderId="29" xfId="0" applyNumberFormat="1" applyBorder="1"/>
    <xf numFmtId="164" fontId="0" fillId="0" borderId="50" xfId="0" applyNumberFormat="1" applyBorder="1"/>
    <xf numFmtId="165" fontId="0" fillId="0" borderId="29" xfId="0" applyNumberFormat="1" applyBorder="1" applyAlignment="1">
      <alignment horizontal="right"/>
    </xf>
    <xf numFmtId="165" fontId="0" fillId="0" borderId="50" xfId="0" applyNumberFormat="1" applyBorder="1"/>
    <xf numFmtId="0" fontId="6" fillId="0" borderId="22" xfId="0" applyFont="1" applyBorder="1" applyAlignment="1">
      <alignment horizontal="center"/>
    </xf>
    <xf numFmtId="165" fontId="0" fillId="0" borderId="26" xfId="0" applyNumberFormat="1" applyBorder="1" applyAlignment="1">
      <alignment horizontal="right"/>
    </xf>
    <xf numFmtId="0" fontId="0" fillId="0" borderId="3" xfId="0" applyBorder="1"/>
    <xf numFmtId="0" fontId="0" fillId="0" borderId="52" xfId="0" applyBorder="1"/>
    <xf numFmtId="164" fontId="0" fillId="0" borderId="7" xfId="0" applyNumberFormat="1" applyBorder="1" applyAlignment="1"/>
    <xf numFmtId="164" fontId="0" fillId="0" borderId="5" xfId="0" applyNumberFormat="1" applyBorder="1" applyAlignment="1"/>
    <xf numFmtId="164" fontId="0" fillId="0" borderId="8" xfId="0" applyNumberFormat="1" applyBorder="1" applyAlignment="1"/>
    <xf numFmtId="164" fontId="0" fillId="0" borderId="4" xfId="0" applyNumberFormat="1" applyBorder="1" applyAlignment="1"/>
    <xf numFmtId="164" fontId="0" fillId="0" borderId="5" xfId="0" applyNumberFormat="1" applyBorder="1" applyAlignment="1">
      <alignment horizontal="right"/>
    </xf>
    <xf numFmtId="164" fontId="0" fillId="0" borderId="39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9" fontId="11" fillId="0" borderId="3" xfId="2" applyFont="1" applyFill="1" applyBorder="1" applyAlignment="1" applyProtection="1"/>
    <xf numFmtId="9" fontId="11" fillId="0" borderId="8" xfId="2" applyFont="1" applyFill="1" applyBorder="1" applyAlignment="1" applyProtection="1"/>
    <xf numFmtId="0" fontId="0" fillId="12" borderId="3" xfId="0" applyFill="1" applyBorder="1"/>
    <xf numFmtId="0" fontId="6" fillId="12" borderId="52" xfId="0" applyFont="1" applyFill="1" applyBorder="1" applyAlignment="1">
      <alignment horizontal="center"/>
    </xf>
    <xf numFmtId="164" fontId="6" fillId="12" borderId="47" xfId="0" applyNumberFormat="1" applyFont="1" applyFill="1" applyBorder="1"/>
    <xf numFmtId="169" fontId="6" fillId="12" borderId="47" xfId="0" applyNumberFormat="1" applyFont="1" applyFill="1" applyBorder="1"/>
    <xf numFmtId="9" fontId="6" fillId="12" borderId="2" xfId="2" applyNumberFormat="1" applyFont="1" applyFill="1" applyBorder="1" applyAlignment="1" applyProtection="1"/>
    <xf numFmtId="9" fontId="6" fillId="12" borderId="46" xfId="2" applyNumberFormat="1" applyFont="1" applyFill="1" applyBorder="1" applyAlignment="1" applyProtection="1"/>
    <xf numFmtId="165" fontId="0" fillId="0" borderId="0" xfId="0" applyNumberFormat="1" applyBorder="1"/>
    <xf numFmtId="165" fontId="4" fillId="0" borderId="0" xfId="3" applyNumberFormat="1"/>
    <xf numFmtId="1" fontId="4" fillId="0" borderId="0" xfId="3" applyNumberFormat="1"/>
    <xf numFmtId="165" fontId="0" fillId="0" borderId="0" xfId="0" applyNumberFormat="1" applyFill="1"/>
    <xf numFmtId="0" fontId="14" fillId="0" borderId="0" xfId="0" applyFont="1" applyBorder="1"/>
    <xf numFmtId="0" fontId="0" fillId="0" borderId="0" xfId="0" applyBorder="1"/>
    <xf numFmtId="0" fontId="0" fillId="0" borderId="0" xfId="0" applyFill="1" applyBorder="1"/>
    <xf numFmtId="164" fontId="0" fillId="0" borderId="0" xfId="0" applyNumberFormat="1" applyBorder="1"/>
    <xf numFmtId="0" fontId="15" fillId="0" borderId="53" xfId="0" applyFont="1" applyBorder="1" applyAlignment="1">
      <alignment vertical="center"/>
    </xf>
    <xf numFmtId="0" fontId="15" fillId="0" borderId="54" xfId="0" applyFont="1" applyBorder="1" applyAlignment="1">
      <alignment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6" xfId="0" applyFont="1" applyBorder="1" applyAlignment="1"/>
    <xf numFmtId="0" fontId="6" fillId="0" borderId="0" xfId="0" applyFont="1" applyBorder="1" applyAlignment="1"/>
    <xf numFmtId="168" fontId="4" fillId="0" borderId="17" xfId="1" applyNumberFormat="1" applyFont="1" applyFill="1" applyBorder="1" applyAlignment="1" applyProtection="1"/>
    <xf numFmtId="165" fontId="0" fillId="0" borderId="11" xfId="0" applyNumberFormat="1" applyBorder="1"/>
    <xf numFmtId="10" fontId="0" fillId="0" borderId="11" xfId="0" applyNumberFormat="1" applyBorder="1"/>
    <xf numFmtId="10" fontId="0" fillId="0" borderId="17" xfId="0" applyNumberFormat="1" applyBorder="1"/>
    <xf numFmtId="168" fontId="4" fillId="0" borderId="25" xfId="1" applyNumberFormat="1" applyFont="1" applyFill="1" applyBorder="1" applyAlignment="1" applyProtection="1"/>
    <xf numFmtId="164" fontId="11" fillId="0" borderId="21" xfId="0" applyNumberFormat="1" applyFont="1" applyBorder="1" applyAlignment="1"/>
    <xf numFmtId="165" fontId="0" fillId="0" borderId="21" xfId="0" applyNumberFormat="1" applyBorder="1"/>
    <xf numFmtId="10" fontId="0" fillId="0" borderId="21" xfId="0" applyNumberFormat="1" applyBorder="1"/>
    <xf numFmtId="10" fontId="0" fillId="0" borderId="25" xfId="0" applyNumberFormat="1" applyBorder="1"/>
    <xf numFmtId="168" fontId="4" fillId="0" borderId="36" xfId="1" applyNumberFormat="1" applyFont="1" applyFill="1" applyBorder="1" applyAlignment="1" applyProtection="1"/>
    <xf numFmtId="164" fontId="11" fillId="0" borderId="35" xfId="0" applyNumberFormat="1" applyFont="1" applyBorder="1" applyAlignment="1"/>
    <xf numFmtId="165" fontId="0" fillId="0" borderId="35" xfId="0" applyNumberFormat="1" applyBorder="1"/>
    <xf numFmtId="165" fontId="0" fillId="0" borderId="36" xfId="0" applyNumberFormat="1" applyBorder="1"/>
    <xf numFmtId="10" fontId="0" fillId="0" borderId="58" xfId="0" applyNumberFormat="1" applyBorder="1"/>
    <xf numFmtId="10" fontId="0" fillId="0" borderId="36" xfId="0" applyNumberFormat="1" applyBorder="1"/>
    <xf numFmtId="0" fontId="14" fillId="0" borderId="53" xfId="0" applyFont="1" applyBorder="1" applyAlignment="1"/>
    <xf numFmtId="0" fontId="14" fillId="0" borderId="54" xfId="0" applyFont="1" applyBorder="1" applyAlignment="1"/>
    <xf numFmtId="168" fontId="14" fillId="0" borderId="44" xfId="1" applyNumberFormat="1" applyFont="1" applyFill="1" applyBorder="1" applyAlignment="1" applyProtection="1"/>
    <xf numFmtId="164" fontId="14" fillId="0" borderId="2" xfId="0" applyNumberFormat="1" applyFont="1" applyBorder="1" applyAlignment="1"/>
    <xf numFmtId="164" fontId="6" fillId="0" borderId="2" xfId="0" applyNumberFormat="1" applyFont="1" applyBorder="1"/>
    <xf numFmtId="164" fontId="6" fillId="0" borderId="44" xfId="0" applyNumberFormat="1" applyFont="1" applyBorder="1"/>
    <xf numFmtId="10" fontId="6" fillId="0" borderId="45" xfId="0" applyNumberFormat="1" applyFont="1" applyBorder="1"/>
    <xf numFmtId="10" fontId="6" fillId="0" borderId="46" xfId="0" applyNumberFormat="1" applyFont="1" applyBorder="1"/>
    <xf numFmtId="0" fontId="14" fillId="0" borderId="0" xfId="0" applyFont="1" applyBorder="1" applyAlignment="1"/>
    <xf numFmtId="166" fontId="0" fillId="0" borderId="0" xfId="0" applyNumberFormat="1"/>
    <xf numFmtId="0" fontId="15" fillId="0" borderId="55" xfId="0" applyFont="1" applyBorder="1" applyAlignment="1">
      <alignment vertical="center"/>
    </xf>
    <xf numFmtId="0" fontId="6" fillId="0" borderId="57" xfId="0" applyFont="1" applyBorder="1" applyAlignment="1"/>
    <xf numFmtId="0" fontId="14" fillId="0" borderId="55" xfId="0" applyFont="1" applyBorder="1" applyAlignment="1"/>
    <xf numFmtId="0" fontId="0" fillId="4" borderId="22" xfId="0" applyFill="1" applyBorder="1" applyAlignment="1">
      <alignment horizontal="left"/>
    </xf>
    <xf numFmtId="0" fontId="0" fillId="0" borderId="59" xfId="0" applyBorder="1" applyAlignment="1">
      <alignment horizontal="center"/>
    </xf>
    <xf numFmtId="0" fontId="6" fillId="0" borderId="4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9" fontId="0" fillId="0" borderId="24" xfId="0" applyNumberFormat="1" applyFill="1" applyBorder="1"/>
    <xf numFmtId="169" fontId="6" fillId="11" borderId="43" xfId="0" applyNumberFormat="1" applyFont="1" applyFill="1" applyBorder="1" applyAlignment="1">
      <alignment horizontal="right"/>
    </xf>
    <xf numFmtId="0" fontId="11" fillId="0" borderId="21" xfId="2" applyNumberFormat="1" applyFont="1" applyFill="1" applyBorder="1" applyAlignment="1" applyProtection="1"/>
    <xf numFmtId="0" fontId="11" fillId="0" borderId="27" xfId="2" applyNumberFormat="1" applyFont="1" applyFill="1" applyBorder="1" applyAlignment="1" applyProtection="1"/>
    <xf numFmtId="169" fontId="6" fillId="10" borderId="2" xfId="0" applyNumberFormat="1" applyFont="1" applyFill="1" applyBorder="1"/>
    <xf numFmtId="9" fontId="6" fillId="0" borderId="45" xfId="0" applyNumberFormat="1" applyFont="1" applyBorder="1"/>
    <xf numFmtId="9" fontId="6" fillId="0" borderId="46" xfId="0" applyNumberFormat="1" applyFont="1" applyBorder="1"/>
    <xf numFmtId="164" fontId="0" fillId="0" borderId="28" xfId="0" applyNumberFormat="1" applyBorder="1"/>
    <xf numFmtId="165" fontId="0" fillId="0" borderId="29" xfId="0" applyNumberFormat="1" applyBorder="1"/>
    <xf numFmtId="164" fontId="0" fillId="0" borderId="63" xfId="0" applyNumberFormat="1" applyBorder="1"/>
    <xf numFmtId="164" fontId="0" fillId="0" borderId="26" xfId="0" applyNumberFormat="1" applyFill="1" applyBorder="1"/>
    <xf numFmtId="165" fontId="0" fillId="0" borderId="24" xfId="0" applyNumberFormat="1" applyFill="1" applyBorder="1"/>
    <xf numFmtId="164" fontId="0" fillId="0" borderId="64" xfId="0" applyNumberFormat="1" applyBorder="1"/>
    <xf numFmtId="164" fontId="6" fillId="10" borderId="46" xfId="0" applyNumberFormat="1" applyFont="1" applyFill="1" applyBorder="1"/>
    <xf numFmtId="164" fontId="0" fillId="0" borderId="37" xfId="0" applyNumberFormat="1" applyFill="1" applyBorder="1"/>
    <xf numFmtId="165" fontId="0" fillId="0" borderId="32" xfId="0" applyNumberFormat="1" applyFill="1" applyBorder="1"/>
    <xf numFmtId="164" fontId="0" fillId="0" borderId="36" xfId="0" applyNumberFormat="1" applyFill="1" applyBorder="1"/>
    <xf numFmtId="10" fontId="0" fillId="0" borderId="12" xfId="0" applyNumberFormat="1" applyBorder="1"/>
    <xf numFmtId="10" fontId="0" fillId="0" borderId="65" xfId="0" applyNumberFormat="1" applyBorder="1"/>
    <xf numFmtId="10" fontId="0" fillId="0" borderId="66" xfId="0" applyNumberFormat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9" fontId="11" fillId="13" borderId="21" xfId="2" applyFont="1" applyFill="1" applyBorder="1" applyAlignment="1" applyProtection="1"/>
    <xf numFmtId="9" fontId="11" fillId="14" borderId="27" xfId="2" applyFont="1" applyFill="1" applyBorder="1" applyAlignment="1" applyProtection="1"/>
    <xf numFmtId="169" fontId="6" fillId="7" borderId="43" xfId="0" applyNumberFormat="1" applyFont="1" applyFill="1" applyBorder="1"/>
    <xf numFmtId="169" fontId="0" fillId="0" borderId="32" xfId="0" applyNumberFormat="1" applyBorder="1" applyAlignment="1">
      <alignment horizontal="right"/>
    </xf>
    <xf numFmtId="164" fontId="6" fillId="11" borderId="43" xfId="0" applyNumberFormat="1" applyFont="1" applyFill="1" applyBorder="1" applyAlignment="1">
      <alignment horizontal="center"/>
    </xf>
    <xf numFmtId="37" fontId="6" fillId="11" borderId="46" xfId="0" applyNumberFormat="1" applyFont="1" applyFill="1" applyBorder="1"/>
    <xf numFmtId="169" fontId="14" fillId="0" borderId="2" xfId="0" applyNumberFormat="1" applyFont="1" applyBorder="1" applyAlignment="1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9" fontId="0" fillId="0" borderId="24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5" fontId="0" fillId="0" borderId="32" xfId="0" applyNumberFormat="1" applyBorder="1" applyAlignment="1">
      <alignment horizontal="center"/>
    </xf>
    <xf numFmtId="164" fontId="6" fillId="7" borderId="47" xfId="0" applyNumberFormat="1" applyFont="1" applyFill="1" applyBorder="1" applyAlignment="1">
      <alignment horizontal="center"/>
    </xf>
    <xf numFmtId="169" fontId="6" fillId="7" borderId="43" xfId="0" applyNumberFormat="1" applyFont="1" applyFill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69" fontId="0" fillId="0" borderId="14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41" fontId="0" fillId="0" borderId="0" xfId="5" applyFont="1"/>
    <xf numFmtId="164" fontId="6" fillId="8" borderId="47" xfId="0" applyNumberFormat="1" applyFont="1" applyFill="1" applyBorder="1" applyAlignment="1">
      <alignment horizontal="center"/>
    </xf>
    <xf numFmtId="169" fontId="6" fillId="8" borderId="43" xfId="0" applyNumberFormat="1" applyFont="1" applyFill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164" fontId="6" fillId="10" borderId="2" xfId="0" applyNumberFormat="1" applyFont="1" applyFill="1" applyBorder="1" applyAlignment="1">
      <alignment horizontal="center"/>
    </xf>
    <xf numFmtId="169" fontId="6" fillId="10" borderId="2" xfId="0" applyNumberFormat="1" applyFont="1" applyFill="1" applyBorder="1" applyAlignment="1">
      <alignment horizontal="center"/>
    </xf>
    <xf numFmtId="164" fontId="6" fillId="0" borderId="47" xfId="0" applyNumberFormat="1" applyFont="1" applyFill="1" applyBorder="1"/>
    <xf numFmtId="169" fontId="0" fillId="0" borderId="24" xfId="0" applyNumberFormat="1" applyFill="1" applyBorder="1" applyAlignment="1">
      <alignment horizontal="center"/>
    </xf>
    <xf numFmtId="165" fontId="6" fillId="11" borderId="47" xfId="0" applyNumberFormat="1" applyFont="1" applyFill="1" applyBorder="1" applyAlignment="1">
      <alignment horizontal="center"/>
    </xf>
    <xf numFmtId="165" fontId="0" fillId="0" borderId="34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6" fillId="12" borderId="47" xfId="0" applyNumberFormat="1" applyFont="1" applyFill="1" applyBorder="1" applyAlignment="1">
      <alignment horizontal="center"/>
    </xf>
    <xf numFmtId="169" fontId="6" fillId="12" borderId="47" xfId="0" applyNumberFormat="1" applyFon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53" xfId="0" applyFont="1" applyBorder="1" applyAlignment="1">
      <alignment horizontal="center" vertical="center"/>
    </xf>
    <xf numFmtId="0" fontId="6" fillId="0" borderId="56" xfId="0" applyFont="1" applyBorder="1" applyAlignment="1">
      <alignment horizontal="left"/>
    </xf>
    <xf numFmtId="168" fontId="4" fillId="0" borderId="17" xfId="1" applyNumberFormat="1" applyFont="1" applyFill="1" applyBorder="1" applyAlignment="1" applyProtection="1">
      <alignment horizontal="center"/>
    </xf>
    <xf numFmtId="0" fontId="6" fillId="0" borderId="56" xfId="0" applyFont="1" applyBorder="1" applyAlignment="1">
      <alignment horizontal="center"/>
    </xf>
    <xf numFmtId="168" fontId="4" fillId="0" borderId="25" xfId="1" applyNumberFormat="1" applyFont="1" applyFill="1" applyBorder="1" applyAlignment="1" applyProtection="1">
      <alignment horizontal="center"/>
    </xf>
    <xf numFmtId="168" fontId="4" fillId="0" borderId="36" xfId="1" applyNumberFormat="1" applyFont="1" applyFill="1" applyBorder="1" applyAlignment="1" applyProtection="1">
      <alignment horizontal="center"/>
    </xf>
    <xf numFmtId="0" fontId="14" fillId="0" borderId="53" xfId="0" applyFont="1" applyBorder="1" applyAlignment="1">
      <alignment horizontal="center"/>
    </xf>
    <xf numFmtId="168" fontId="14" fillId="0" borderId="44" xfId="1" applyNumberFormat="1" applyFont="1" applyFill="1" applyBorder="1" applyAlignment="1" applyProtection="1">
      <alignment horizontal="center"/>
    </xf>
    <xf numFmtId="0" fontId="6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/>
    </xf>
    <xf numFmtId="0" fontId="7" fillId="3" borderId="6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6" fillId="0" borderId="72" xfId="0" applyFont="1" applyBorder="1" applyAlignment="1">
      <alignment horizontal="center"/>
    </xf>
    <xf numFmtId="0" fontId="14" fillId="0" borderId="73" xfId="0" applyFont="1" applyBorder="1" applyAlignment="1">
      <alignment horizontal="center"/>
    </xf>
    <xf numFmtId="0" fontId="14" fillId="0" borderId="74" xfId="0" applyFont="1" applyBorder="1" applyAlignment="1">
      <alignment horizontal="center"/>
    </xf>
    <xf numFmtId="0" fontId="14" fillId="0" borderId="75" xfId="0" applyFont="1" applyBorder="1" applyAlignment="1">
      <alignment horizontal="center"/>
    </xf>
    <xf numFmtId="41" fontId="0" fillId="0" borderId="0" xfId="5" applyFont="1" applyAlignment="1">
      <alignment horizontal="center" wrapText="1"/>
    </xf>
    <xf numFmtId="41" fontId="0" fillId="0" borderId="0" xfId="5" applyFont="1" applyAlignment="1">
      <alignment horizontal="center"/>
    </xf>
    <xf numFmtId="0" fontId="7" fillId="15" borderId="60" xfId="0" applyFont="1" applyFill="1" applyBorder="1" applyAlignment="1">
      <alignment horizontal="center" vertical="center"/>
    </xf>
    <xf numFmtId="0" fontId="7" fillId="15" borderId="62" xfId="0" applyFont="1" applyFill="1" applyBorder="1" applyAlignment="1">
      <alignment horizontal="center" vertical="center"/>
    </xf>
    <xf numFmtId="0" fontId="7" fillId="15" borderId="10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41" fontId="4" fillId="0" borderId="0" xfId="5" applyFont="1"/>
    <xf numFmtId="41" fontId="0" fillId="0" borderId="0" xfId="0" applyNumberFormat="1"/>
    <xf numFmtId="1" fontId="5" fillId="0" borderId="0" xfId="0" applyNumberFormat="1" applyFont="1"/>
    <xf numFmtId="41" fontId="4" fillId="0" borderId="0" xfId="3" applyNumberFormat="1"/>
    <xf numFmtId="0" fontId="7" fillId="16" borderId="60" xfId="0" applyFont="1" applyFill="1" applyBorder="1" applyAlignment="1">
      <alignment horizontal="center" vertical="center"/>
    </xf>
    <xf numFmtId="0" fontId="7" fillId="16" borderId="62" xfId="0" applyFont="1" applyFill="1" applyBorder="1" applyAlignment="1">
      <alignment horizontal="center" vertical="center"/>
    </xf>
    <xf numFmtId="0" fontId="7" fillId="16" borderId="10" xfId="0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horizontal="center" vertical="center"/>
    </xf>
    <xf numFmtId="168" fontId="16" fillId="0" borderId="26" xfId="1" applyNumberFormat="1" applyFont="1" applyFill="1" applyBorder="1" applyAlignment="1" applyProtection="1"/>
    <xf numFmtId="168" fontId="16" fillId="0" borderId="25" xfId="1" applyNumberFormat="1" applyFont="1" applyFill="1" applyBorder="1" applyAlignment="1" applyProtection="1"/>
  </cellXfs>
  <cellStyles count="6">
    <cellStyle name="Comma" xfId="1" builtinId="3"/>
    <cellStyle name="Comma [0]" xfId="5" builtinId="6"/>
    <cellStyle name="Excel Built-in Comma [0]" xfId="4"/>
    <cellStyle name="Excel Built-in Normal 2" xf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04"/>
  <sheetViews>
    <sheetView workbookViewId="0">
      <pane xSplit="9" ySplit="5" topLeftCell="J78" activePane="bottomRight" state="frozen"/>
      <selection pane="topRight" activeCell="J1" sqref="J1"/>
      <selection pane="bottomLeft" activeCell="A6" sqref="A6"/>
      <selection pane="bottomRight" activeCell="B109" sqref="B109"/>
    </sheetView>
  </sheetViews>
  <sheetFormatPr defaultRowHeight="15" x14ac:dyDescent="0.25"/>
  <cols>
    <col min="1" max="1" width="7.140625" customWidth="1"/>
    <col min="2" max="2" width="39.42578125" customWidth="1"/>
    <col min="3" max="3" width="6.7109375" customWidth="1"/>
    <col min="4" max="4" width="5.7109375" customWidth="1"/>
    <col min="5" max="5" width="5.85546875" customWidth="1"/>
    <col min="6" max="7" width="9.140625" customWidth="1"/>
    <col min="8" max="8" width="12.85546875" customWidth="1"/>
    <col min="9" max="9" width="1.5703125" customWidth="1"/>
    <col min="10" max="10" width="10.5703125" customWidth="1"/>
    <col min="11" max="11" width="20.7109375" customWidth="1"/>
    <col min="12" max="12" width="2" customWidth="1"/>
    <col min="13" max="13" width="10.140625" customWidth="1"/>
    <col min="14" max="14" width="13.7109375" customWidth="1"/>
    <col min="15" max="15" width="9.42578125" customWidth="1"/>
    <col min="16" max="16" width="10.7109375" bestFit="1" customWidth="1"/>
    <col min="17" max="17" width="16.5703125" customWidth="1"/>
    <col min="18" max="18" width="16" customWidth="1"/>
    <col min="19" max="228" width="9.42578125" customWidth="1"/>
    <col min="229" max="229" width="7.140625" customWidth="1"/>
    <col min="230" max="230" width="35.28515625" customWidth="1"/>
    <col min="231" max="231" width="6.7109375" customWidth="1"/>
    <col min="232" max="232" width="5.7109375" customWidth="1"/>
    <col min="233" max="233" width="5.85546875" customWidth="1"/>
    <col min="234" max="234" width="7.85546875" customWidth="1"/>
    <col min="239" max="239" width="7.140625" customWidth="1"/>
    <col min="240" max="240" width="39.42578125" customWidth="1"/>
    <col min="241" max="241" width="6.7109375" customWidth="1"/>
    <col min="242" max="242" width="5.7109375" customWidth="1"/>
    <col min="243" max="243" width="5.85546875" customWidth="1"/>
    <col min="244" max="244" width="7.85546875" customWidth="1"/>
    <col min="245" max="245" width="14.28515625" customWidth="1"/>
    <col min="246" max="246" width="14" customWidth="1"/>
    <col min="247" max="247" width="10.140625" customWidth="1"/>
    <col min="248" max="248" width="11" customWidth="1"/>
    <col min="249" max="249" width="13.5703125" customWidth="1"/>
    <col min="250" max="250" width="8.7109375" customWidth="1"/>
    <col min="251" max="251" width="10.28515625" customWidth="1"/>
    <col min="252" max="252" width="15.28515625" customWidth="1"/>
    <col min="253" max="254" width="10.140625" customWidth="1"/>
    <col min="255" max="255" width="13.42578125" customWidth="1"/>
    <col min="256" max="257" width="10.140625" customWidth="1"/>
    <col min="258" max="258" width="12.42578125" customWidth="1"/>
    <col min="259" max="261" width="0" hidden="1" customWidth="1"/>
    <col min="262" max="262" width="11.5703125" customWidth="1"/>
    <col min="263" max="263" width="11.85546875" customWidth="1"/>
    <col min="264" max="264" width="15.7109375" customWidth="1"/>
    <col min="265" max="265" width="1.5703125" customWidth="1"/>
    <col min="266" max="266" width="10.5703125" customWidth="1"/>
    <col min="267" max="267" width="20.7109375" customWidth="1"/>
    <col min="268" max="268" width="2" customWidth="1"/>
    <col min="269" max="269" width="10.140625" customWidth="1"/>
    <col min="270" max="270" width="13.7109375" customWidth="1"/>
    <col min="271" max="271" width="9.42578125" customWidth="1"/>
    <col min="272" max="272" width="10.7109375" bestFit="1" customWidth="1"/>
    <col min="273" max="273" width="16.5703125" customWidth="1"/>
    <col min="274" max="274" width="16" customWidth="1"/>
    <col min="275" max="484" width="9.42578125" customWidth="1"/>
    <col min="485" max="485" width="7.140625" customWidth="1"/>
    <col min="486" max="486" width="35.28515625" customWidth="1"/>
    <col min="487" max="487" width="6.7109375" customWidth="1"/>
    <col min="488" max="488" width="5.7109375" customWidth="1"/>
    <col min="489" max="489" width="5.85546875" customWidth="1"/>
    <col min="490" max="490" width="7.85546875" customWidth="1"/>
    <col min="495" max="495" width="7.140625" customWidth="1"/>
    <col min="496" max="496" width="39.42578125" customWidth="1"/>
    <col min="497" max="497" width="6.7109375" customWidth="1"/>
    <col min="498" max="498" width="5.7109375" customWidth="1"/>
    <col min="499" max="499" width="5.85546875" customWidth="1"/>
    <col min="500" max="500" width="7.85546875" customWidth="1"/>
    <col min="501" max="501" width="14.28515625" customWidth="1"/>
    <col min="502" max="502" width="14" customWidth="1"/>
    <col min="503" max="503" width="10.140625" customWidth="1"/>
    <col min="504" max="504" width="11" customWidth="1"/>
    <col min="505" max="505" width="13.5703125" customWidth="1"/>
    <col min="506" max="506" width="8.7109375" customWidth="1"/>
    <col min="507" max="507" width="10.28515625" customWidth="1"/>
    <col min="508" max="508" width="15.28515625" customWidth="1"/>
    <col min="509" max="510" width="10.140625" customWidth="1"/>
    <col min="511" max="511" width="13.42578125" customWidth="1"/>
    <col min="512" max="513" width="10.140625" customWidth="1"/>
    <col min="514" max="514" width="12.42578125" customWidth="1"/>
    <col min="515" max="517" width="0" hidden="1" customWidth="1"/>
    <col min="518" max="518" width="11.5703125" customWidth="1"/>
    <col min="519" max="519" width="11.85546875" customWidth="1"/>
    <col min="520" max="520" width="15.7109375" customWidth="1"/>
    <col min="521" max="521" width="1.5703125" customWidth="1"/>
    <col min="522" max="522" width="10.5703125" customWidth="1"/>
    <col min="523" max="523" width="20.7109375" customWidth="1"/>
    <col min="524" max="524" width="2" customWidth="1"/>
    <col min="525" max="525" width="10.140625" customWidth="1"/>
    <col min="526" max="526" width="13.7109375" customWidth="1"/>
    <col min="527" max="527" width="9.42578125" customWidth="1"/>
    <col min="528" max="528" width="10.7109375" bestFit="1" customWidth="1"/>
    <col min="529" max="529" width="16.5703125" customWidth="1"/>
    <col min="530" max="530" width="16" customWidth="1"/>
    <col min="531" max="740" width="9.42578125" customWidth="1"/>
    <col min="741" max="741" width="7.140625" customWidth="1"/>
    <col min="742" max="742" width="35.28515625" customWidth="1"/>
    <col min="743" max="743" width="6.7109375" customWidth="1"/>
    <col min="744" max="744" width="5.7109375" customWidth="1"/>
    <col min="745" max="745" width="5.85546875" customWidth="1"/>
    <col min="746" max="746" width="7.85546875" customWidth="1"/>
    <col min="751" max="751" width="7.140625" customWidth="1"/>
    <col min="752" max="752" width="39.42578125" customWidth="1"/>
    <col min="753" max="753" width="6.7109375" customWidth="1"/>
    <col min="754" max="754" width="5.7109375" customWidth="1"/>
    <col min="755" max="755" width="5.85546875" customWidth="1"/>
    <col min="756" max="756" width="7.85546875" customWidth="1"/>
    <col min="757" max="757" width="14.28515625" customWidth="1"/>
    <col min="758" max="758" width="14" customWidth="1"/>
    <col min="759" max="759" width="10.140625" customWidth="1"/>
    <col min="760" max="760" width="11" customWidth="1"/>
    <col min="761" max="761" width="13.5703125" customWidth="1"/>
    <col min="762" max="762" width="8.7109375" customWidth="1"/>
    <col min="763" max="763" width="10.28515625" customWidth="1"/>
    <col min="764" max="764" width="15.28515625" customWidth="1"/>
    <col min="765" max="766" width="10.140625" customWidth="1"/>
    <col min="767" max="767" width="13.42578125" customWidth="1"/>
    <col min="768" max="769" width="10.140625" customWidth="1"/>
    <col min="770" max="770" width="12.42578125" customWidth="1"/>
    <col min="771" max="773" width="0" hidden="1" customWidth="1"/>
    <col min="774" max="774" width="11.5703125" customWidth="1"/>
    <col min="775" max="775" width="11.85546875" customWidth="1"/>
    <col min="776" max="776" width="15.7109375" customWidth="1"/>
    <col min="777" max="777" width="1.5703125" customWidth="1"/>
    <col min="778" max="778" width="10.5703125" customWidth="1"/>
    <col min="779" max="779" width="20.7109375" customWidth="1"/>
    <col min="780" max="780" width="2" customWidth="1"/>
    <col min="781" max="781" width="10.140625" customWidth="1"/>
    <col min="782" max="782" width="13.7109375" customWidth="1"/>
    <col min="783" max="783" width="9.42578125" customWidth="1"/>
    <col min="784" max="784" width="10.7109375" bestFit="1" customWidth="1"/>
    <col min="785" max="785" width="16.5703125" customWidth="1"/>
    <col min="786" max="786" width="16" customWidth="1"/>
    <col min="787" max="996" width="9.42578125" customWidth="1"/>
    <col min="997" max="997" width="7.140625" customWidth="1"/>
    <col min="998" max="998" width="35.28515625" customWidth="1"/>
    <col min="999" max="999" width="6.7109375" customWidth="1"/>
    <col min="1000" max="1000" width="5.7109375" customWidth="1"/>
    <col min="1001" max="1001" width="5.85546875" customWidth="1"/>
    <col min="1002" max="1002" width="7.85546875" customWidth="1"/>
    <col min="1007" max="1007" width="7.140625" customWidth="1"/>
    <col min="1008" max="1008" width="39.42578125" customWidth="1"/>
    <col min="1009" max="1009" width="6.7109375" customWidth="1"/>
    <col min="1010" max="1010" width="5.7109375" customWidth="1"/>
    <col min="1011" max="1011" width="5.85546875" customWidth="1"/>
    <col min="1012" max="1012" width="7.85546875" customWidth="1"/>
    <col min="1013" max="1013" width="14.28515625" customWidth="1"/>
    <col min="1014" max="1014" width="14" customWidth="1"/>
    <col min="1015" max="1015" width="10.140625" customWidth="1"/>
    <col min="1016" max="1016" width="11" customWidth="1"/>
    <col min="1017" max="1017" width="13.5703125" customWidth="1"/>
    <col min="1018" max="1018" width="8.7109375" customWidth="1"/>
    <col min="1019" max="1019" width="10.28515625" customWidth="1"/>
    <col min="1020" max="1020" width="15.28515625" customWidth="1"/>
    <col min="1021" max="1022" width="10.140625" customWidth="1"/>
    <col min="1023" max="1023" width="13.42578125" customWidth="1"/>
    <col min="1024" max="1025" width="10.140625" customWidth="1"/>
    <col min="1026" max="1026" width="12.42578125" customWidth="1"/>
    <col min="1027" max="1029" width="0" hidden="1" customWidth="1"/>
    <col min="1030" max="1030" width="11.5703125" customWidth="1"/>
    <col min="1031" max="1031" width="11.85546875" customWidth="1"/>
    <col min="1032" max="1032" width="15.7109375" customWidth="1"/>
    <col min="1033" max="1033" width="1.5703125" customWidth="1"/>
    <col min="1034" max="1034" width="10.5703125" customWidth="1"/>
    <col min="1035" max="1035" width="20.7109375" customWidth="1"/>
    <col min="1036" max="1036" width="2" customWidth="1"/>
    <col min="1037" max="1037" width="10.140625" customWidth="1"/>
    <col min="1038" max="1038" width="13.7109375" customWidth="1"/>
    <col min="1039" max="1039" width="9.42578125" customWidth="1"/>
    <col min="1040" max="1040" width="10.7109375" bestFit="1" customWidth="1"/>
    <col min="1041" max="1041" width="16.5703125" customWidth="1"/>
    <col min="1042" max="1042" width="16" customWidth="1"/>
    <col min="1043" max="1252" width="9.42578125" customWidth="1"/>
    <col min="1253" max="1253" width="7.140625" customWidth="1"/>
    <col min="1254" max="1254" width="35.28515625" customWidth="1"/>
    <col min="1255" max="1255" width="6.7109375" customWidth="1"/>
    <col min="1256" max="1256" width="5.7109375" customWidth="1"/>
    <col min="1257" max="1257" width="5.85546875" customWidth="1"/>
    <col min="1258" max="1258" width="7.85546875" customWidth="1"/>
    <col min="1263" max="1263" width="7.140625" customWidth="1"/>
    <col min="1264" max="1264" width="39.42578125" customWidth="1"/>
    <col min="1265" max="1265" width="6.7109375" customWidth="1"/>
    <col min="1266" max="1266" width="5.7109375" customWidth="1"/>
    <col min="1267" max="1267" width="5.85546875" customWidth="1"/>
    <col min="1268" max="1268" width="7.85546875" customWidth="1"/>
    <col min="1269" max="1269" width="14.28515625" customWidth="1"/>
    <col min="1270" max="1270" width="14" customWidth="1"/>
    <col min="1271" max="1271" width="10.140625" customWidth="1"/>
    <col min="1272" max="1272" width="11" customWidth="1"/>
    <col min="1273" max="1273" width="13.5703125" customWidth="1"/>
    <col min="1274" max="1274" width="8.7109375" customWidth="1"/>
    <col min="1275" max="1275" width="10.28515625" customWidth="1"/>
    <col min="1276" max="1276" width="15.28515625" customWidth="1"/>
    <col min="1277" max="1278" width="10.140625" customWidth="1"/>
    <col min="1279" max="1279" width="13.42578125" customWidth="1"/>
    <col min="1280" max="1281" width="10.140625" customWidth="1"/>
    <col min="1282" max="1282" width="12.42578125" customWidth="1"/>
    <col min="1283" max="1285" width="0" hidden="1" customWidth="1"/>
    <col min="1286" max="1286" width="11.5703125" customWidth="1"/>
    <col min="1287" max="1287" width="11.85546875" customWidth="1"/>
    <col min="1288" max="1288" width="15.7109375" customWidth="1"/>
    <col min="1289" max="1289" width="1.5703125" customWidth="1"/>
    <col min="1290" max="1290" width="10.5703125" customWidth="1"/>
    <col min="1291" max="1291" width="20.7109375" customWidth="1"/>
    <col min="1292" max="1292" width="2" customWidth="1"/>
    <col min="1293" max="1293" width="10.140625" customWidth="1"/>
    <col min="1294" max="1294" width="13.7109375" customWidth="1"/>
    <col min="1295" max="1295" width="9.42578125" customWidth="1"/>
    <col min="1296" max="1296" width="10.7109375" bestFit="1" customWidth="1"/>
    <col min="1297" max="1297" width="16.5703125" customWidth="1"/>
    <col min="1298" max="1298" width="16" customWidth="1"/>
    <col min="1299" max="1508" width="9.42578125" customWidth="1"/>
    <col min="1509" max="1509" width="7.140625" customWidth="1"/>
    <col min="1510" max="1510" width="35.28515625" customWidth="1"/>
    <col min="1511" max="1511" width="6.7109375" customWidth="1"/>
    <col min="1512" max="1512" width="5.7109375" customWidth="1"/>
    <col min="1513" max="1513" width="5.85546875" customWidth="1"/>
    <col min="1514" max="1514" width="7.85546875" customWidth="1"/>
    <col min="1519" max="1519" width="7.140625" customWidth="1"/>
    <col min="1520" max="1520" width="39.42578125" customWidth="1"/>
    <col min="1521" max="1521" width="6.7109375" customWidth="1"/>
    <col min="1522" max="1522" width="5.7109375" customWidth="1"/>
    <col min="1523" max="1523" width="5.85546875" customWidth="1"/>
    <col min="1524" max="1524" width="7.85546875" customWidth="1"/>
    <col min="1525" max="1525" width="14.28515625" customWidth="1"/>
    <col min="1526" max="1526" width="14" customWidth="1"/>
    <col min="1527" max="1527" width="10.140625" customWidth="1"/>
    <col min="1528" max="1528" width="11" customWidth="1"/>
    <col min="1529" max="1529" width="13.5703125" customWidth="1"/>
    <col min="1530" max="1530" width="8.7109375" customWidth="1"/>
    <col min="1531" max="1531" width="10.28515625" customWidth="1"/>
    <col min="1532" max="1532" width="15.28515625" customWidth="1"/>
    <col min="1533" max="1534" width="10.140625" customWidth="1"/>
    <col min="1535" max="1535" width="13.42578125" customWidth="1"/>
    <col min="1536" max="1537" width="10.140625" customWidth="1"/>
    <col min="1538" max="1538" width="12.42578125" customWidth="1"/>
    <col min="1539" max="1541" width="0" hidden="1" customWidth="1"/>
    <col min="1542" max="1542" width="11.5703125" customWidth="1"/>
    <col min="1543" max="1543" width="11.85546875" customWidth="1"/>
    <col min="1544" max="1544" width="15.7109375" customWidth="1"/>
    <col min="1545" max="1545" width="1.5703125" customWidth="1"/>
    <col min="1546" max="1546" width="10.5703125" customWidth="1"/>
    <col min="1547" max="1547" width="20.7109375" customWidth="1"/>
    <col min="1548" max="1548" width="2" customWidth="1"/>
    <col min="1549" max="1549" width="10.140625" customWidth="1"/>
    <col min="1550" max="1550" width="13.7109375" customWidth="1"/>
    <col min="1551" max="1551" width="9.42578125" customWidth="1"/>
    <col min="1552" max="1552" width="10.7109375" bestFit="1" customWidth="1"/>
    <col min="1553" max="1553" width="16.5703125" customWidth="1"/>
    <col min="1554" max="1554" width="16" customWidth="1"/>
    <col min="1555" max="1764" width="9.42578125" customWidth="1"/>
    <col min="1765" max="1765" width="7.140625" customWidth="1"/>
    <col min="1766" max="1766" width="35.28515625" customWidth="1"/>
    <col min="1767" max="1767" width="6.7109375" customWidth="1"/>
    <col min="1768" max="1768" width="5.7109375" customWidth="1"/>
    <col min="1769" max="1769" width="5.85546875" customWidth="1"/>
    <col min="1770" max="1770" width="7.85546875" customWidth="1"/>
    <col min="1775" max="1775" width="7.140625" customWidth="1"/>
    <col min="1776" max="1776" width="39.42578125" customWidth="1"/>
    <col min="1777" max="1777" width="6.7109375" customWidth="1"/>
    <col min="1778" max="1778" width="5.7109375" customWidth="1"/>
    <col min="1779" max="1779" width="5.85546875" customWidth="1"/>
    <col min="1780" max="1780" width="7.85546875" customWidth="1"/>
    <col min="1781" max="1781" width="14.28515625" customWidth="1"/>
    <col min="1782" max="1782" width="14" customWidth="1"/>
    <col min="1783" max="1783" width="10.140625" customWidth="1"/>
    <col min="1784" max="1784" width="11" customWidth="1"/>
    <col min="1785" max="1785" width="13.5703125" customWidth="1"/>
    <col min="1786" max="1786" width="8.7109375" customWidth="1"/>
    <col min="1787" max="1787" width="10.28515625" customWidth="1"/>
    <col min="1788" max="1788" width="15.28515625" customWidth="1"/>
    <col min="1789" max="1790" width="10.140625" customWidth="1"/>
    <col min="1791" max="1791" width="13.42578125" customWidth="1"/>
    <col min="1792" max="1793" width="10.140625" customWidth="1"/>
    <col min="1794" max="1794" width="12.42578125" customWidth="1"/>
    <col min="1795" max="1797" width="0" hidden="1" customWidth="1"/>
    <col min="1798" max="1798" width="11.5703125" customWidth="1"/>
    <col min="1799" max="1799" width="11.85546875" customWidth="1"/>
    <col min="1800" max="1800" width="15.7109375" customWidth="1"/>
    <col min="1801" max="1801" width="1.5703125" customWidth="1"/>
    <col min="1802" max="1802" width="10.5703125" customWidth="1"/>
    <col min="1803" max="1803" width="20.7109375" customWidth="1"/>
    <col min="1804" max="1804" width="2" customWidth="1"/>
    <col min="1805" max="1805" width="10.140625" customWidth="1"/>
    <col min="1806" max="1806" width="13.7109375" customWidth="1"/>
    <col min="1807" max="1807" width="9.42578125" customWidth="1"/>
    <col min="1808" max="1808" width="10.7109375" bestFit="1" customWidth="1"/>
    <col min="1809" max="1809" width="16.5703125" customWidth="1"/>
    <col min="1810" max="1810" width="16" customWidth="1"/>
    <col min="1811" max="2020" width="9.42578125" customWidth="1"/>
    <col min="2021" max="2021" width="7.140625" customWidth="1"/>
    <col min="2022" max="2022" width="35.28515625" customWidth="1"/>
    <col min="2023" max="2023" width="6.7109375" customWidth="1"/>
    <col min="2024" max="2024" width="5.7109375" customWidth="1"/>
    <col min="2025" max="2025" width="5.85546875" customWidth="1"/>
    <col min="2026" max="2026" width="7.85546875" customWidth="1"/>
    <col min="2031" max="2031" width="7.140625" customWidth="1"/>
    <col min="2032" max="2032" width="39.42578125" customWidth="1"/>
    <col min="2033" max="2033" width="6.7109375" customWidth="1"/>
    <col min="2034" max="2034" width="5.7109375" customWidth="1"/>
    <col min="2035" max="2035" width="5.85546875" customWidth="1"/>
    <col min="2036" max="2036" width="7.85546875" customWidth="1"/>
    <col min="2037" max="2037" width="14.28515625" customWidth="1"/>
    <col min="2038" max="2038" width="14" customWidth="1"/>
    <col min="2039" max="2039" width="10.140625" customWidth="1"/>
    <col min="2040" max="2040" width="11" customWidth="1"/>
    <col min="2041" max="2041" width="13.5703125" customWidth="1"/>
    <col min="2042" max="2042" width="8.7109375" customWidth="1"/>
    <col min="2043" max="2043" width="10.28515625" customWidth="1"/>
    <col min="2044" max="2044" width="15.28515625" customWidth="1"/>
    <col min="2045" max="2046" width="10.140625" customWidth="1"/>
    <col min="2047" max="2047" width="13.42578125" customWidth="1"/>
    <col min="2048" max="2049" width="10.140625" customWidth="1"/>
    <col min="2050" max="2050" width="12.42578125" customWidth="1"/>
    <col min="2051" max="2053" width="0" hidden="1" customWidth="1"/>
    <col min="2054" max="2054" width="11.5703125" customWidth="1"/>
    <col min="2055" max="2055" width="11.85546875" customWidth="1"/>
    <col min="2056" max="2056" width="15.7109375" customWidth="1"/>
    <col min="2057" max="2057" width="1.5703125" customWidth="1"/>
    <col min="2058" max="2058" width="10.5703125" customWidth="1"/>
    <col min="2059" max="2059" width="20.7109375" customWidth="1"/>
    <col min="2060" max="2060" width="2" customWidth="1"/>
    <col min="2061" max="2061" width="10.140625" customWidth="1"/>
    <col min="2062" max="2062" width="13.7109375" customWidth="1"/>
    <col min="2063" max="2063" width="9.42578125" customWidth="1"/>
    <col min="2064" max="2064" width="10.7109375" bestFit="1" customWidth="1"/>
    <col min="2065" max="2065" width="16.5703125" customWidth="1"/>
    <col min="2066" max="2066" width="16" customWidth="1"/>
    <col min="2067" max="2276" width="9.42578125" customWidth="1"/>
    <col min="2277" max="2277" width="7.140625" customWidth="1"/>
    <col min="2278" max="2278" width="35.28515625" customWidth="1"/>
    <col min="2279" max="2279" width="6.7109375" customWidth="1"/>
    <col min="2280" max="2280" width="5.7109375" customWidth="1"/>
    <col min="2281" max="2281" width="5.85546875" customWidth="1"/>
    <col min="2282" max="2282" width="7.85546875" customWidth="1"/>
    <col min="2287" max="2287" width="7.140625" customWidth="1"/>
    <col min="2288" max="2288" width="39.42578125" customWidth="1"/>
    <col min="2289" max="2289" width="6.7109375" customWidth="1"/>
    <col min="2290" max="2290" width="5.7109375" customWidth="1"/>
    <col min="2291" max="2291" width="5.85546875" customWidth="1"/>
    <col min="2292" max="2292" width="7.85546875" customWidth="1"/>
    <col min="2293" max="2293" width="14.28515625" customWidth="1"/>
    <col min="2294" max="2294" width="14" customWidth="1"/>
    <col min="2295" max="2295" width="10.140625" customWidth="1"/>
    <col min="2296" max="2296" width="11" customWidth="1"/>
    <col min="2297" max="2297" width="13.5703125" customWidth="1"/>
    <col min="2298" max="2298" width="8.7109375" customWidth="1"/>
    <col min="2299" max="2299" width="10.28515625" customWidth="1"/>
    <col min="2300" max="2300" width="15.28515625" customWidth="1"/>
    <col min="2301" max="2302" width="10.140625" customWidth="1"/>
    <col min="2303" max="2303" width="13.42578125" customWidth="1"/>
    <col min="2304" max="2305" width="10.140625" customWidth="1"/>
    <col min="2306" max="2306" width="12.42578125" customWidth="1"/>
    <col min="2307" max="2309" width="0" hidden="1" customWidth="1"/>
    <col min="2310" max="2310" width="11.5703125" customWidth="1"/>
    <col min="2311" max="2311" width="11.85546875" customWidth="1"/>
    <col min="2312" max="2312" width="15.7109375" customWidth="1"/>
    <col min="2313" max="2313" width="1.5703125" customWidth="1"/>
    <col min="2314" max="2314" width="10.5703125" customWidth="1"/>
    <col min="2315" max="2315" width="20.7109375" customWidth="1"/>
    <col min="2316" max="2316" width="2" customWidth="1"/>
    <col min="2317" max="2317" width="10.140625" customWidth="1"/>
    <col min="2318" max="2318" width="13.7109375" customWidth="1"/>
    <col min="2319" max="2319" width="9.42578125" customWidth="1"/>
    <col min="2320" max="2320" width="10.7109375" bestFit="1" customWidth="1"/>
    <col min="2321" max="2321" width="16.5703125" customWidth="1"/>
    <col min="2322" max="2322" width="16" customWidth="1"/>
    <col min="2323" max="2532" width="9.42578125" customWidth="1"/>
    <col min="2533" max="2533" width="7.140625" customWidth="1"/>
    <col min="2534" max="2534" width="35.28515625" customWidth="1"/>
    <col min="2535" max="2535" width="6.7109375" customWidth="1"/>
    <col min="2536" max="2536" width="5.7109375" customWidth="1"/>
    <col min="2537" max="2537" width="5.85546875" customWidth="1"/>
    <col min="2538" max="2538" width="7.85546875" customWidth="1"/>
    <col min="2543" max="2543" width="7.140625" customWidth="1"/>
    <col min="2544" max="2544" width="39.42578125" customWidth="1"/>
    <col min="2545" max="2545" width="6.7109375" customWidth="1"/>
    <col min="2546" max="2546" width="5.7109375" customWidth="1"/>
    <col min="2547" max="2547" width="5.85546875" customWidth="1"/>
    <col min="2548" max="2548" width="7.85546875" customWidth="1"/>
    <col min="2549" max="2549" width="14.28515625" customWidth="1"/>
    <col min="2550" max="2550" width="14" customWidth="1"/>
    <col min="2551" max="2551" width="10.140625" customWidth="1"/>
    <col min="2552" max="2552" width="11" customWidth="1"/>
    <col min="2553" max="2553" width="13.5703125" customWidth="1"/>
    <col min="2554" max="2554" width="8.7109375" customWidth="1"/>
    <col min="2555" max="2555" width="10.28515625" customWidth="1"/>
    <col min="2556" max="2556" width="15.28515625" customWidth="1"/>
    <col min="2557" max="2558" width="10.140625" customWidth="1"/>
    <col min="2559" max="2559" width="13.42578125" customWidth="1"/>
    <col min="2560" max="2561" width="10.140625" customWidth="1"/>
    <col min="2562" max="2562" width="12.42578125" customWidth="1"/>
    <col min="2563" max="2565" width="0" hidden="1" customWidth="1"/>
    <col min="2566" max="2566" width="11.5703125" customWidth="1"/>
    <col min="2567" max="2567" width="11.85546875" customWidth="1"/>
    <col min="2568" max="2568" width="15.7109375" customWidth="1"/>
    <col min="2569" max="2569" width="1.5703125" customWidth="1"/>
    <col min="2570" max="2570" width="10.5703125" customWidth="1"/>
    <col min="2571" max="2571" width="20.7109375" customWidth="1"/>
    <col min="2572" max="2572" width="2" customWidth="1"/>
    <col min="2573" max="2573" width="10.140625" customWidth="1"/>
    <col min="2574" max="2574" width="13.7109375" customWidth="1"/>
    <col min="2575" max="2575" width="9.42578125" customWidth="1"/>
    <col min="2576" max="2576" width="10.7109375" bestFit="1" customWidth="1"/>
    <col min="2577" max="2577" width="16.5703125" customWidth="1"/>
    <col min="2578" max="2578" width="16" customWidth="1"/>
    <col min="2579" max="2788" width="9.42578125" customWidth="1"/>
    <col min="2789" max="2789" width="7.140625" customWidth="1"/>
    <col min="2790" max="2790" width="35.28515625" customWidth="1"/>
    <col min="2791" max="2791" width="6.7109375" customWidth="1"/>
    <col min="2792" max="2792" width="5.7109375" customWidth="1"/>
    <col min="2793" max="2793" width="5.85546875" customWidth="1"/>
    <col min="2794" max="2794" width="7.85546875" customWidth="1"/>
    <col min="2799" max="2799" width="7.140625" customWidth="1"/>
    <col min="2800" max="2800" width="39.42578125" customWidth="1"/>
    <col min="2801" max="2801" width="6.7109375" customWidth="1"/>
    <col min="2802" max="2802" width="5.7109375" customWidth="1"/>
    <col min="2803" max="2803" width="5.85546875" customWidth="1"/>
    <col min="2804" max="2804" width="7.85546875" customWidth="1"/>
    <col min="2805" max="2805" width="14.28515625" customWidth="1"/>
    <col min="2806" max="2806" width="14" customWidth="1"/>
    <col min="2807" max="2807" width="10.140625" customWidth="1"/>
    <col min="2808" max="2808" width="11" customWidth="1"/>
    <col min="2809" max="2809" width="13.5703125" customWidth="1"/>
    <col min="2810" max="2810" width="8.7109375" customWidth="1"/>
    <col min="2811" max="2811" width="10.28515625" customWidth="1"/>
    <col min="2812" max="2812" width="15.28515625" customWidth="1"/>
    <col min="2813" max="2814" width="10.140625" customWidth="1"/>
    <col min="2815" max="2815" width="13.42578125" customWidth="1"/>
    <col min="2816" max="2817" width="10.140625" customWidth="1"/>
    <col min="2818" max="2818" width="12.42578125" customWidth="1"/>
    <col min="2819" max="2821" width="0" hidden="1" customWidth="1"/>
    <col min="2822" max="2822" width="11.5703125" customWidth="1"/>
    <col min="2823" max="2823" width="11.85546875" customWidth="1"/>
    <col min="2824" max="2824" width="15.7109375" customWidth="1"/>
    <col min="2825" max="2825" width="1.5703125" customWidth="1"/>
    <col min="2826" max="2826" width="10.5703125" customWidth="1"/>
    <col min="2827" max="2827" width="20.7109375" customWidth="1"/>
    <col min="2828" max="2828" width="2" customWidth="1"/>
    <col min="2829" max="2829" width="10.140625" customWidth="1"/>
    <col min="2830" max="2830" width="13.7109375" customWidth="1"/>
    <col min="2831" max="2831" width="9.42578125" customWidth="1"/>
    <col min="2832" max="2832" width="10.7109375" bestFit="1" customWidth="1"/>
    <col min="2833" max="2833" width="16.5703125" customWidth="1"/>
    <col min="2834" max="2834" width="16" customWidth="1"/>
    <col min="2835" max="3044" width="9.42578125" customWidth="1"/>
    <col min="3045" max="3045" width="7.140625" customWidth="1"/>
    <col min="3046" max="3046" width="35.28515625" customWidth="1"/>
    <col min="3047" max="3047" width="6.7109375" customWidth="1"/>
    <col min="3048" max="3048" width="5.7109375" customWidth="1"/>
    <col min="3049" max="3049" width="5.85546875" customWidth="1"/>
    <col min="3050" max="3050" width="7.85546875" customWidth="1"/>
    <col min="3055" max="3055" width="7.140625" customWidth="1"/>
    <col min="3056" max="3056" width="39.42578125" customWidth="1"/>
    <col min="3057" max="3057" width="6.7109375" customWidth="1"/>
    <col min="3058" max="3058" width="5.7109375" customWidth="1"/>
    <col min="3059" max="3059" width="5.85546875" customWidth="1"/>
    <col min="3060" max="3060" width="7.85546875" customWidth="1"/>
    <col min="3061" max="3061" width="14.28515625" customWidth="1"/>
    <col min="3062" max="3062" width="14" customWidth="1"/>
    <col min="3063" max="3063" width="10.140625" customWidth="1"/>
    <col min="3064" max="3064" width="11" customWidth="1"/>
    <col min="3065" max="3065" width="13.5703125" customWidth="1"/>
    <col min="3066" max="3066" width="8.7109375" customWidth="1"/>
    <col min="3067" max="3067" width="10.28515625" customWidth="1"/>
    <col min="3068" max="3068" width="15.28515625" customWidth="1"/>
    <col min="3069" max="3070" width="10.140625" customWidth="1"/>
    <col min="3071" max="3071" width="13.42578125" customWidth="1"/>
    <col min="3072" max="3073" width="10.140625" customWidth="1"/>
    <col min="3074" max="3074" width="12.42578125" customWidth="1"/>
    <col min="3075" max="3077" width="0" hidden="1" customWidth="1"/>
    <col min="3078" max="3078" width="11.5703125" customWidth="1"/>
    <col min="3079" max="3079" width="11.85546875" customWidth="1"/>
    <col min="3080" max="3080" width="15.7109375" customWidth="1"/>
    <col min="3081" max="3081" width="1.5703125" customWidth="1"/>
    <col min="3082" max="3082" width="10.5703125" customWidth="1"/>
    <col min="3083" max="3083" width="20.7109375" customWidth="1"/>
    <col min="3084" max="3084" width="2" customWidth="1"/>
    <col min="3085" max="3085" width="10.140625" customWidth="1"/>
    <col min="3086" max="3086" width="13.7109375" customWidth="1"/>
    <col min="3087" max="3087" width="9.42578125" customWidth="1"/>
    <col min="3088" max="3088" width="10.7109375" bestFit="1" customWidth="1"/>
    <col min="3089" max="3089" width="16.5703125" customWidth="1"/>
    <col min="3090" max="3090" width="16" customWidth="1"/>
    <col min="3091" max="3300" width="9.42578125" customWidth="1"/>
    <col min="3301" max="3301" width="7.140625" customWidth="1"/>
    <col min="3302" max="3302" width="35.28515625" customWidth="1"/>
    <col min="3303" max="3303" width="6.7109375" customWidth="1"/>
    <col min="3304" max="3304" width="5.7109375" customWidth="1"/>
    <col min="3305" max="3305" width="5.85546875" customWidth="1"/>
    <col min="3306" max="3306" width="7.85546875" customWidth="1"/>
    <col min="3311" max="3311" width="7.140625" customWidth="1"/>
    <col min="3312" max="3312" width="39.42578125" customWidth="1"/>
    <col min="3313" max="3313" width="6.7109375" customWidth="1"/>
    <col min="3314" max="3314" width="5.7109375" customWidth="1"/>
    <col min="3315" max="3315" width="5.85546875" customWidth="1"/>
    <col min="3316" max="3316" width="7.85546875" customWidth="1"/>
    <col min="3317" max="3317" width="14.28515625" customWidth="1"/>
    <col min="3318" max="3318" width="14" customWidth="1"/>
    <col min="3319" max="3319" width="10.140625" customWidth="1"/>
    <col min="3320" max="3320" width="11" customWidth="1"/>
    <col min="3321" max="3321" width="13.5703125" customWidth="1"/>
    <col min="3322" max="3322" width="8.7109375" customWidth="1"/>
    <col min="3323" max="3323" width="10.28515625" customWidth="1"/>
    <col min="3324" max="3324" width="15.28515625" customWidth="1"/>
    <col min="3325" max="3326" width="10.140625" customWidth="1"/>
    <col min="3327" max="3327" width="13.42578125" customWidth="1"/>
    <col min="3328" max="3329" width="10.140625" customWidth="1"/>
    <col min="3330" max="3330" width="12.42578125" customWidth="1"/>
    <col min="3331" max="3333" width="0" hidden="1" customWidth="1"/>
    <col min="3334" max="3334" width="11.5703125" customWidth="1"/>
    <col min="3335" max="3335" width="11.85546875" customWidth="1"/>
    <col min="3336" max="3336" width="15.7109375" customWidth="1"/>
    <col min="3337" max="3337" width="1.5703125" customWidth="1"/>
    <col min="3338" max="3338" width="10.5703125" customWidth="1"/>
    <col min="3339" max="3339" width="20.7109375" customWidth="1"/>
    <col min="3340" max="3340" width="2" customWidth="1"/>
    <col min="3341" max="3341" width="10.140625" customWidth="1"/>
    <col min="3342" max="3342" width="13.7109375" customWidth="1"/>
    <col min="3343" max="3343" width="9.42578125" customWidth="1"/>
    <col min="3344" max="3344" width="10.7109375" bestFit="1" customWidth="1"/>
    <col min="3345" max="3345" width="16.5703125" customWidth="1"/>
    <col min="3346" max="3346" width="16" customWidth="1"/>
    <col min="3347" max="3556" width="9.42578125" customWidth="1"/>
    <col min="3557" max="3557" width="7.140625" customWidth="1"/>
    <col min="3558" max="3558" width="35.28515625" customWidth="1"/>
    <col min="3559" max="3559" width="6.7109375" customWidth="1"/>
    <col min="3560" max="3560" width="5.7109375" customWidth="1"/>
    <col min="3561" max="3561" width="5.85546875" customWidth="1"/>
    <col min="3562" max="3562" width="7.85546875" customWidth="1"/>
    <col min="3567" max="3567" width="7.140625" customWidth="1"/>
    <col min="3568" max="3568" width="39.42578125" customWidth="1"/>
    <col min="3569" max="3569" width="6.7109375" customWidth="1"/>
    <col min="3570" max="3570" width="5.7109375" customWidth="1"/>
    <col min="3571" max="3571" width="5.85546875" customWidth="1"/>
    <col min="3572" max="3572" width="7.85546875" customWidth="1"/>
    <col min="3573" max="3573" width="14.28515625" customWidth="1"/>
    <col min="3574" max="3574" width="14" customWidth="1"/>
    <col min="3575" max="3575" width="10.140625" customWidth="1"/>
    <col min="3576" max="3576" width="11" customWidth="1"/>
    <col min="3577" max="3577" width="13.5703125" customWidth="1"/>
    <col min="3578" max="3578" width="8.7109375" customWidth="1"/>
    <col min="3579" max="3579" width="10.28515625" customWidth="1"/>
    <col min="3580" max="3580" width="15.28515625" customWidth="1"/>
    <col min="3581" max="3582" width="10.140625" customWidth="1"/>
    <col min="3583" max="3583" width="13.42578125" customWidth="1"/>
    <col min="3584" max="3585" width="10.140625" customWidth="1"/>
    <col min="3586" max="3586" width="12.42578125" customWidth="1"/>
    <col min="3587" max="3589" width="0" hidden="1" customWidth="1"/>
    <col min="3590" max="3590" width="11.5703125" customWidth="1"/>
    <col min="3591" max="3591" width="11.85546875" customWidth="1"/>
    <col min="3592" max="3592" width="15.7109375" customWidth="1"/>
    <col min="3593" max="3593" width="1.5703125" customWidth="1"/>
    <col min="3594" max="3594" width="10.5703125" customWidth="1"/>
    <col min="3595" max="3595" width="20.7109375" customWidth="1"/>
    <col min="3596" max="3596" width="2" customWidth="1"/>
    <col min="3597" max="3597" width="10.140625" customWidth="1"/>
    <col min="3598" max="3598" width="13.7109375" customWidth="1"/>
    <col min="3599" max="3599" width="9.42578125" customWidth="1"/>
    <col min="3600" max="3600" width="10.7109375" bestFit="1" customWidth="1"/>
    <col min="3601" max="3601" width="16.5703125" customWidth="1"/>
    <col min="3602" max="3602" width="16" customWidth="1"/>
    <col min="3603" max="3812" width="9.42578125" customWidth="1"/>
    <col min="3813" max="3813" width="7.140625" customWidth="1"/>
    <col min="3814" max="3814" width="35.28515625" customWidth="1"/>
    <col min="3815" max="3815" width="6.7109375" customWidth="1"/>
    <col min="3816" max="3816" width="5.7109375" customWidth="1"/>
    <col min="3817" max="3817" width="5.85546875" customWidth="1"/>
    <col min="3818" max="3818" width="7.85546875" customWidth="1"/>
    <col min="3823" max="3823" width="7.140625" customWidth="1"/>
    <col min="3824" max="3824" width="39.42578125" customWidth="1"/>
    <col min="3825" max="3825" width="6.7109375" customWidth="1"/>
    <col min="3826" max="3826" width="5.7109375" customWidth="1"/>
    <col min="3827" max="3827" width="5.85546875" customWidth="1"/>
    <col min="3828" max="3828" width="7.85546875" customWidth="1"/>
    <col min="3829" max="3829" width="14.28515625" customWidth="1"/>
    <col min="3830" max="3830" width="14" customWidth="1"/>
    <col min="3831" max="3831" width="10.140625" customWidth="1"/>
    <col min="3832" max="3832" width="11" customWidth="1"/>
    <col min="3833" max="3833" width="13.5703125" customWidth="1"/>
    <col min="3834" max="3834" width="8.7109375" customWidth="1"/>
    <col min="3835" max="3835" width="10.28515625" customWidth="1"/>
    <col min="3836" max="3836" width="15.28515625" customWidth="1"/>
    <col min="3837" max="3838" width="10.140625" customWidth="1"/>
    <col min="3839" max="3839" width="13.42578125" customWidth="1"/>
    <col min="3840" max="3841" width="10.140625" customWidth="1"/>
    <col min="3842" max="3842" width="12.42578125" customWidth="1"/>
    <col min="3843" max="3845" width="0" hidden="1" customWidth="1"/>
    <col min="3846" max="3846" width="11.5703125" customWidth="1"/>
    <col min="3847" max="3847" width="11.85546875" customWidth="1"/>
    <col min="3848" max="3848" width="15.7109375" customWidth="1"/>
    <col min="3849" max="3849" width="1.5703125" customWidth="1"/>
    <col min="3850" max="3850" width="10.5703125" customWidth="1"/>
    <col min="3851" max="3851" width="20.7109375" customWidth="1"/>
    <col min="3852" max="3852" width="2" customWidth="1"/>
    <col min="3853" max="3853" width="10.140625" customWidth="1"/>
    <col min="3854" max="3854" width="13.7109375" customWidth="1"/>
    <col min="3855" max="3855" width="9.42578125" customWidth="1"/>
    <col min="3856" max="3856" width="10.7109375" bestFit="1" customWidth="1"/>
    <col min="3857" max="3857" width="16.5703125" customWidth="1"/>
    <col min="3858" max="3858" width="16" customWidth="1"/>
    <col min="3859" max="4068" width="9.42578125" customWidth="1"/>
    <col min="4069" max="4069" width="7.140625" customWidth="1"/>
    <col min="4070" max="4070" width="35.28515625" customWidth="1"/>
    <col min="4071" max="4071" width="6.7109375" customWidth="1"/>
    <col min="4072" max="4072" width="5.7109375" customWidth="1"/>
    <col min="4073" max="4073" width="5.85546875" customWidth="1"/>
    <col min="4074" max="4074" width="7.85546875" customWidth="1"/>
    <col min="4079" max="4079" width="7.140625" customWidth="1"/>
    <col min="4080" max="4080" width="39.42578125" customWidth="1"/>
    <col min="4081" max="4081" width="6.7109375" customWidth="1"/>
    <col min="4082" max="4082" width="5.7109375" customWidth="1"/>
    <col min="4083" max="4083" width="5.85546875" customWidth="1"/>
    <col min="4084" max="4084" width="7.85546875" customWidth="1"/>
    <col min="4085" max="4085" width="14.28515625" customWidth="1"/>
    <col min="4086" max="4086" width="14" customWidth="1"/>
    <col min="4087" max="4087" width="10.140625" customWidth="1"/>
    <col min="4088" max="4088" width="11" customWidth="1"/>
    <col min="4089" max="4089" width="13.5703125" customWidth="1"/>
    <col min="4090" max="4090" width="8.7109375" customWidth="1"/>
    <col min="4091" max="4091" width="10.28515625" customWidth="1"/>
    <col min="4092" max="4092" width="15.28515625" customWidth="1"/>
    <col min="4093" max="4094" width="10.140625" customWidth="1"/>
    <col min="4095" max="4095" width="13.42578125" customWidth="1"/>
    <col min="4096" max="4097" width="10.140625" customWidth="1"/>
    <col min="4098" max="4098" width="12.42578125" customWidth="1"/>
    <col min="4099" max="4101" width="0" hidden="1" customWidth="1"/>
    <col min="4102" max="4102" width="11.5703125" customWidth="1"/>
    <col min="4103" max="4103" width="11.85546875" customWidth="1"/>
    <col min="4104" max="4104" width="15.7109375" customWidth="1"/>
    <col min="4105" max="4105" width="1.5703125" customWidth="1"/>
    <col min="4106" max="4106" width="10.5703125" customWidth="1"/>
    <col min="4107" max="4107" width="20.7109375" customWidth="1"/>
    <col min="4108" max="4108" width="2" customWidth="1"/>
    <col min="4109" max="4109" width="10.140625" customWidth="1"/>
    <col min="4110" max="4110" width="13.7109375" customWidth="1"/>
    <col min="4111" max="4111" width="9.42578125" customWidth="1"/>
    <col min="4112" max="4112" width="10.7109375" bestFit="1" customWidth="1"/>
    <col min="4113" max="4113" width="16.5703125" customWidth="1"/>
    <col min="4114" max="4114" width="16" customWidth="1"/>
    <col min="4115" max="4324" width="9.42578125" customWidth="1"/>
    <col min="4325" max="4325" width="7.140625" customWidth="1"/>
    <col min="4326" max="4326" width="35.28515625" customWidth="1"/>
    <col min="4327" max="4327" width="6.7109375" customWidth="1"/>
    <col min="4328" max="4328" width="5.7109375" customWidth="1"/>
    <col min="4329" max="4329" width="5.85546875" customWidth="1"/>
    <col min="4330" max="4330" width="7.85546875" customWidth="1"/>
    <col min="4335" max="4335" width="7.140625" customWidth="1"/>
    <col min="4336" max="4336" width="39.42578125" customWidth="1"/>
    <col min="4337" max="4337" width="6.7109375" customWidth="1"/>
    <col min="4338" max="4338" width="5.7109375" customWidth="1"/>
    <col min="4339" max="4339" width="5.85546875" customWidth="1"/>
    <col min="4340" max="4340" width="7.85546875" customWidth="1"/>
    <col min="4341" max="4341" width="14.28515625" customWidth="1"/>
    <col min="4342" max="4342" width="14" customWidth="1"/>
    <col min="4343" max="4343" width="10.140625" customWidth="1"/>
    <col min="4344" max="4344" width="11" customWidth="1"/>
    <col min="4345" max="4345" width="13.5703125" customWidth="1"/>
    <col min="4346" max="4346" width="8.7109375" customWidth="1"/>
    <col min="4347" max="4347" width="10.28515625" customWidth="1"/>
    <col min="4348" max="4348" width="15.28515625" customWidth="1"/>
    <col min="4349" max="4350" width="10.140625" customWidth="1"/>
    <col min="4351" max="4351" width="13.42578125" customWidth="1"/>
    <col min="4352" max="4353" width="10.140625" customWidth="1"/>
    <col min="4354" max="4354" width="12.42578125" customWidth="1"/>
    <col min="4355" max="4357" width="0" hidden="1" customWidth="1"/>
    <col min="4358" max="4358" width="11.5703125" customWidth="1"/>
    <col min="4359" max="4359" width="11.85546875" customWidth="1"/>
    <col min="4360" max="4360" width="15.7109375" customWidth="1"/>
    <col min="4361" max="4361" width="1.5703125" customWidth="1"/>
    <col min="4362" max="4362" width="10.5703125" customWidth="1"/>
    <col min="4363" max="4363" width="20.7109375" customWidth="1"/>
    <col min="4364" max="4364" width="2" customWidth="1"/>
    <col min="4365" max="4365" width="10.140625" customWidth="1"/>
    <col min="4366" max="4366" width="13.7109375" customWidth="1"/>
    <col min="4367" max="4367" width="9.42578125" customWidth="1"/>
    <col min="4368" max="4368" width="10.7109375" bestFit="1" customWidth="1"/>
    <col min="4369" max="4369" width="16.5703125" customWidth="1"/>
    <col min="4370" max="4370" width="16" customWidth="1"/>
    <col min="4371" max="4580" width="9.42578125" customWidth="1"/>
    <col min="4581" max="4581" width="7.140625" customWidth="1"/>
    <col min="4582" max="4582" width="35.28515625" customWidth="1"/>
    <col min="4583" max="4583" width="6.7109375" customWidth="1"/>
    <col min="4584" max="4584" width="5.7109375" customWidth="1"/>
    <col min="4585" max="4585" width="5.85546875" customWidth="1"/>
    <col min="4586" max="4586" width="7.85546875" customWidth="1"/>
    <col min="4591" max="4591" width="7.140625" customWidth="1"/>
    <col min="4592" max="4592" width="39.42578125" customWidth="1"/>
    <col min="4593" max="4593" width="6.7109375" customWidth="1"/>
    <col min="4594" max="4594" width="5.7109375" customWidth="1"/>
    <col min="4595" max="4595" width="5.85546875" customWidth="1"/>
    <col min="4596" max="4596" width="7.85546875" customWidth="1"/>
    <col min="4597" max="4597" width="14.28515625" customWidth="1"/>
    <col min="4598" max="4598" width="14" customWidth="1"/>
    <col min="4599" max="4599" width="10.140625" customWidth="1"/>
    <col min="4600" max="4600" width="11" customWidth="1"/>
    <col min="4601" max="4601" width="13.5703125" customWidth="1"/>
    <col min="4602" max="4602" width="8.7109375" customWidth="1"/>
    <col min="4603" max="4603" width="10.28515625" customWidth="1"/>
    <col min="4604" max="4604" width="15.28515625" customWidth="1"/>
    <col min="4605" max="4606" width="10.140625" customWidth="1"/>
    <col min="4607" max="4607" width="13.42578125" customWidth="1"/>
    <col min="4608" max="4609" width="10.140625" customWidth="1"/>
    <col min="4610" max="4610" width="12.42578125" customWidth="1"/>
    <col min="4611" max="4613" width="0" hidden="1" customWidth="1"/>
    <col min="4614" max="4614" width="11.5703125" customWidth="1"/>
    <col min="4615" max="4615" width="11.85546875" customWidth="1"/>
    <col min="4616" max="4616" width="15.7109375" customWidth="1"/>
    <col min="4617" max="4617" width="1.5703125" customWidth="1"/>
    <col min="4618" max="4618" width="10.5703125" customWidth="1"/>
    <col min="4619" max="4619" width="20.7109375" customWidth="1"/>
    <col min="4620" max="4620" width="2" customWidth="1"/>
    <col min="4621" max="4621" width="10.140625" customWidth="1"/>
    <col min="4622" max="4622" width="13.7109375" customWidth="1"/>
    <col min="4623" max="4623" width="9.42578125" customWidth="1"/>
    <col min="4624" max="4624" width="10.7109375" bestFit="1" customWidth="1"/>
    <col min="4625" max="4625" width="16.5703125" customWidth="1"/>
    <col min="4626" max="4626" width="16" customWidth="1"/>
    <col min="4627" max="4836" width="9.42578125" customWidth="1"/>
    <col min="4837" max="4837" width="7.140625" customWidth="1"/>
    <col min="4838" max="4838" width="35.28515625" customWidth="1"/>
    <col min="4839" max="4839" width="6.7109375" customWidth="1"/>
    <col min="4840" max="4840" width="5.7109375" customWidth="1"/>
    <col min="4841" max="4841" width="5.85546875" customWidth="1"/>
    <col min="4842" max="4842" width="7.85546875" customWidth="1"/>
    <col min="4847" max="4847" width="7.140625" customWidth="1"/>
    <col min="4848" max="4848" width="39.42578125" customWidth="1"/>
    <col min="4849" max="4849" width="6.7109375" customWidth="1"/>
    <col min="4850" max="4850" width="5.7109375" customWidth="1"/>
    <col min="4851" max="4851" width="5.85546875" customWidth="1"/>
    <col min="4852" max="4852" width="7.85546875" customWidth="1"/>
    <col min="4853" max="4853" width="14.28515625" customWidth="1"/>
    <col min="4854" max="4854" width="14" customWidth="1"/>
    <col min="4855" max="4855" width="10.140625" customWidth="1"/>
    <col min="4856" max="4856" width="11" customWidth="1"/>
    <col min="4857" max="4857" width="13.5703125" customWidth="1"/>
    <col min="4858" max="4858" width="8.7109375" customWidth="1"/>
    <col min="4859" max="4859" width="10.28515625" customWidth="1"/>
    <col min="4860" max="4860" width="15.28515625" customWidth="1"/>
    <col min="4861" max="4862" width="10.140625" customWidth="1"/>
    <col min="4863" max="4863" width="13.42578125" customWidth="1"/>
    <col min="4864" max="4865" width="10.140625" customWidth="1"/>
    <col min="4866" max="4866" width="12.42578125" customWidth="1"/>
    <col min="4867" max="4869" width="0" hidden="1" customWidth="1"/>
    <col min="4870" max="4870" width="11.5703125" customWidth="1"/>
    <col min="4871" max="4871" width="11.85546875" customWidth="1"/>
    <col min="4872" max="4872" width="15.7109375" customWidth="1"/>
    <col min="4873" max="4873" width="1.5703125" customWidth="1"/>
    <col min="4874" max="4874" width="10.5703125" customWidth="1"/>
    <col min="4875" max="4875" width="20.7109375" customWidth="1"/>
    <col min="4876" max="4876" width="2" customWidth="1"/>
    <col min="4877" max="4877" width="10.140625" customWidth="1"/>
    <col min="4878" max="4878" width="13.7109375" customWidth="1"/>
    <col min="4879" max="4879" width="9.42578125" customWidth="1"/>
    <col min="4880" max="4880" width="10.7109375" bestFit="1" customWidth="1"/>
    <col min="4881" max="4881" width="16.5703125" customWidth="1"/>
    <col min="4882" max="4882" width="16" customWidth="1"/>
    <col min="4883" max="5092" width="9.42578125" customWidth="1"/>
    <col min="5093" max="5093" width="7.140625" customWidth="1"/>
    <col min="5094" max="5094" width="35.28515625" customWidth="1"/>
    <col min="5095" max="5095" width="6.7109375" customWidth="1"/>
    <col min="5096" max="5096" width="5.7109375" customWidth="1"/>
    <col min="5097" max="5097" width="5.85546875" customWidth="1"/>
    <col min="5098" max="5098" width="7.85546875" customWidth="1"/>
    <col min="5103" max="5103" width="7.140625" customWidth="1"/>
    <col min="5104" max="5104" width="39.42578125" customWidth="1"/>
    <col min="5105" max="5105" width="6.7109375" customWidth="1"/>
    <col min="5106" max="5106" width="5.7109375" customWidth="1"/>
    <col min="5107" max="5107" width="5.85546875" customWidth="1"/>
    <col min="5108" max="5108" width="7.85546875" customWidth="1"/>
    <col min="5109" max="5109" width="14.28515625" customWidth="1"/>
    <col min="5110" max="5110" width="14" customWidth="1"/>
    <col min="5111" max="5111" width="10.140625" customWidth="1"/>
    <col min="5112" max="5112" width="11" customWidth="1"/>
    <col min="5113" max="5113" width="13.5703125" customWidth="1"/>
    <col min="5114" max="5114" width="8.7109375" customWidth="1"/>
    <col min="5115" max="5115" width="10.28515625" customWidth="1"/>
    <col min="5116" max="5116" width="15.28515625" customWidth="1"/>
    <col min="5117" max="5118" width="10.140625" customWidth="1"/>
    <col min="5119" max="5119" width="13.42578125" customWidth="1"/>
    <col min="5120" max="5121" width="10.140625" customWidth="1"/>
    <col min="5122" max="5122" width="12.42578125" customWidth="1"/>
    <col min="5123" max="5125" width="0" hidden="1" customWidth="1"/>
    <col min="5126" max="5126" width="11.5703125" customWidth="1"/>
    <col min="5127" max="5127" width="11.85546875" customWidth="1"/>
    <col min="5128" max="5128" width="15.7109375" customWidth="1"/>
    <col min="5129" max="5129" width="1.5703125" customWidth="1"/>
    <col min="5130" max="5130" width="10.5703125" customWidth="1"/>
    <col min="5131" max="5131" width="20.7109375" customWidth="1"/>
    <col min="5132" max="5132" width="2" customWidth="1"/>
    <col min="5133" max="5133" width="10.140625" customWidth="1"/>
    <col min="5134" max="5134" width="13.7109375" customWidth="1"/>
    <col min="5135" max="5135" width="9.42578125" customWidth="1"/>
    <col min="5136" max="5136" width="10.7109375" bestFit="1" customWidth="1"/>
    <col min="5137" max="5137" width="16.5703125" customWidth="1"/>
    <col min="5138" max="5138" width="16" customWidth="1"/>
    <col min="5139" max="5348" width="9.42578125" customWidth="1"/>
    <col min="5349" max="5349" width="7.140625" customWidth="1"/>
    <col min="5350" max="5350" width="35.28515625" customWidth="1"/>
    <col min="5351" max="5351" width="6.7109375" customWidth="1"/>
    <col min="5352" max="5352" width="5.7109375" customWidth="1"/>
    <col min="5353" max="5353" width="5.85546875" customWidth="1"/>
    <col min="5354" max="5354" width="7.85546875" customWidth="1"/>
    <col min="5359" max="5359" width="7.140625" customWidth="1"/>
    <col min="5360" max="5360" width="39.42578125" customWidth="1"/>
    <col min="5361" max="5361" width="6.7109375" customWidth="1"/>
    <col min="5362" max="5362" width="5.7109375" customWidth="1"/>
    <col min="5363" max="5363" width="5.85546875" customWidth="1"/>
    <col min="5364" max="5364" width="7.85546875" customWidth="1"/>
    <col min="5365" max="5365" width="14.28515625" customWidth="1"/>
    <col min="5366" max="5366" width="14" customWidth="1"/>
    <col min="5367" max="5367" width="10.140625" customWidth="1"/>
    <col min="5368" max="5368" width="11" customWidth="1"/>
    <col min="5369" max="5369" width="13.5703125" customWidth="1"/>
    <col min="5370" max="5370" width="8.7109375" customWidth="1"/>
    <col min="5371" max="5371" width="10.28515625" customWidth="1"/>
    <col min="5372" max="5372" width="15.28515625" customWidth="1"/>
    <col min="5373" max="5374" width="10.140625" customWidth="1"/>
    <col min="5375" max="5375" width="13.42578125" customWidth="1"/>
    <col min="5376" max="5377" width="10.140625" customWidth="1"/>
    <col min="5378" max="5378" width="12.42578125" customWidth="1"/>
    <col min="5379" max="5381" width="0" hidden="1" customWidth="1"/>
    <col min="5382" max="5382" width="11.5703125" customWidth="1"/>
    <col min="5383" max="5383" width="11.85546875" customWidth="1"/>
    <col min="5384" max="5384" width="15.7109375" customWidth="1"/>
    <col min="5385" max="5385" width="1.5703125" customWidth="1"/>
    <col min="5386" max="5386" width="10.5703125" customWidth="1"/>
    <col min="5387" max="5387" width="20.7109375" customWidth="1"/>
    <col min="5388" max="5388" width="2" customWidth="1"/>
    <col min="5389" max="5389" width="10.140625" customWidth="1"/>
    <col min="5390" max="5390" width="13.7109375" customWidth="1"/>
    <col min="5391" max="5391" width="9.42578125" customWidth="1"/>
    <col min="5392" max="5392" width="10.7109375" bestFit="1" customWidth="1"/>
    <col min="5393" max="5393" width="16.5703125" customWidth="1"/>
    <col min="5394" max="5394" width="16" customWidth="1"/>
    <col min="5395" max="5604" width="9.42578125" customWidth="1"/>
    <col min="5605" max="5605" width="7.140625" customWidth="1"/>
    <col min="5606" max="5606" width="35.28515625" customWidth="1"/>
    <col min="5607" max="5607" width="6.7109375" customWidth="1"/>
    <col min="5608" max="5608" width="5.7109375" customWidth="1"/>
    <col min="5609" max="5609" width="5.85546875" customWidth="1"/>
    <col min="5610" max="5610" width="7.85546875" customWidth="1"/>
    <col min="5615" max="5615" width="7.140625" customWidth="1"/>
    <col min="5616" max="5616" width="39.42578125" customWidth="1"/>
    <col min="5617" max="5617" width="6.7109375" customWidth="1"/>
    <col min="5618" max="5618" width="5.7109375" customWidth="1"/>
    <col min="5619" max="5619" width="5.85546875" customWidth="1"/>
    <col min="5620" max="5620" width="7.85546875" customWidth="1"/>
    <col min="5621" max="5621" width="14.28515625" customWidth="1"/>
    <col min="5622" max="5622" width="14" customWidth="1"/>
    <col min="5623" max="5623" width="10.140625" customWidth="1"/>
    <col min="5624" max="5624" width="11" customWidth="1"/>
    <col min="5625" max="5625" width="13.5703125" customWidth="1"/>
    <col min="5626" max="5626" width="8.7109375" customWidth="1"/>
    <col min="5627" max="5627" width="10.28515625" customWidth="1"/>
    <col min="5628" max="5628" width="15.28515625" customWidth="1"/>
    <col min="5629" max="5630" width="10.140625" customWidth="1"/>
    <col min="5631" max="5631" width="13.42578125" customWidth="1"/>
    <col min="5632" max="5633" width="10.140625" customWidth="1"/>
    <col min="5634" max="5634" width="12.42578125" customWidth="1"/>
    <col min="5635" max="5637" width="0" hidden="1" customWidth="1"/>
    <col min="5638" max="5638" width="11.5703125" customWidth="1"/>
    <col min="5639" max="5639" width="11.85546875" customWidth="1"/>
    <col min="5640" max="5640" width="15.7109375" customWidth="1"/>
    <col min="5641" max="5641" width="1.5703125" customWidth="1"/>
    <col min="5642" max="5642" width="10.5703125" customWidth="1"/>
    <col min="5643" max="5643" width="20.7109375" customWidth="1"/>
    <col min="5644" max="5644" width="2" customWidth="1"/>
    <col min="5645" max="5645" width="10.140625" customWidth="1"/>
    <col min="5646" max="5646" width="13.7109375" customWidth="1"/>
    <col min="5647" max="5647" width="9.42578125" customWidth="1"/>
    <col min="5648" max="5648" width="10.7109375" bestFit="1" customWidth="1"/>
    <col min="5649" max="5649" width="16.5703125" customWidth="1"/>
    <col min="5650" max="5650" width="16" customWidth="1"/>
    <col min="5651" max="5860" width="9.42578125" customWidth="1"/>
    <col min="5861" max="5861" width="7.140625" customWidth="1"/>
    <col min="5862" max="5862" width="35.28515625" customWidth="1"/>
    <col min="5863" max="5863" width="6.7109375" customWidth="1"/>
    <col min="5864" max="5864" width="5.7109375" customWidth="1"/>
    <col min="5865" max="5865" width="5.85546875" customWidth="1"/>
    <col min="5866" max="5866" width="7.85546875" customWidth="1"/>
    <col min="5871" max="5871" width="7.140625" customWidth="1"/>
    <col min="5872" max="5872" width="39.42578125" customWidth="1"/>
    <col min="5873" max="5873" width="6.7109375" customWidth="1"/>
    <col min="5874" max="5874" width="5.7109375" customWidth="1"/>
    <col min="5875" max="5875" width="5.85546875" customWidth="1"/>
    <col min="5876" max="5876" width="7.85546875" customWidth="1"/>
    <col min="5877" max="5877" width="14.28515625" customWidth="1"/>
    <col min="5878" max="5878" width="14" customWidth="1"/>
    <col min="5879" max="5879" width="10.140625" customWidth="1"/>
    <col min="5880" max="5880" width="11" customWidth="1"/>
    <col min="5881" max="5881" width="13.5703125" customWidth="1"/>
    <col min="5882" max="5882" width="8.7109375" customWidth="1"/>
    <col min="5883" max="5883" width="10.28515625" customWidth="1"/>
    <col min="5884" max="5884" width="15.28515625" customWidth="1"/>
    <col min="5885" max="5886" width="10.140625" customWidth="1"/>
    <col min="5887" max="5887" width="13.42578125" customWidth="1"/>
    <col min="5888" max="5889" width="10.140625" customWidth="1"/>
    <col min="5890" max="5890" width="12.42578125" customWidth="1"/>
    <col min="5891" max="5893" width="0" hidden="1" customWidth="1"/>
    <col min="5894" max="5894" width="11.5703125" customWidth="1"/>
    <col min="5895" max="5895" width="11.85546875" customWidth="1"/>
    <col min="5896" max="5896" width="15.7109375" customWidth="1"/>
    <col min="5897" max="5897" width="1.5703125" customWidth="1"/>
    <col min="5898" max="5898" width="10.5703125" customWidth="1"/>
    <col min="5899" max="5899" width="20.7109375" customWidth="1"/>
    <col min="5900" max="5900" width="2" customWidth="1"/>
    <col min="5901" max="5901" width="10.140625" customWidth="1"/>
    <col min="5902" max="5902" width="13.7109375" customWidth="1"/>
    <col min="5903" max="5903" width="9.42578125" customWidth="1"/>
    <col min="5904" max="5904" width="10.7109375" bestFit="1" customWidth="1"/>
    <col min="5905" max="5905" width="16.5703125" customWidth="1"/>
    <col min="5906" max="5906" width="16" customWidth="1"/>
    <col min="5907" max="6116" width="9.42578125" customWidth="1"/>
    <col min="6117" max="6117" width="7.140625" customWidth="1"/>
    <col min="6118" max="6118" width="35.28515625" customWidth="1"/>
    <col min="6119" max="6119" width="6.7109375" customWidth="1"/>
    <col min="6120" max="6120" width="5.7109375" customWidth="1"/>
    <col min="6121" max="6121" width="5.85546875" customWidth="1"/>
    <col min="6122" max="6122" width="7.85546875" customWidth="1"/>
    <col min="6127" max="6127" width="7.140625" customWidth="1"/>
    <col min="6128" max="6128" width="39.42578125" customWidth="1"/>
    <col min="6129" max="6129" width="6.7109375" customWidth="1"/>
    <col min="6130" max="6130" width="5.7109375" customWidth="1"/>
    <col min="6131" max="6131" width="5.85546875" customWidth="1"/>
    <col min="6132" max="6132" width="7.85546875" customWidth="1"/>
    <col min="6133" max="6133" width="14.28515625" customWidth="1"/>
    <col min="6134" max="6134" width="14" customWidth="1"/>
    <col min="6135" max="6135" width="10.140625" customWidth="1"/>
    <col min="6136" max="6136" width="11" customWidth="1"/>
    <col min="6137" max="6137" width="13.5703125" customWidth="1"/>
    <col min="6138" max="6138" width="8.7109375" customWidth="1"/>
    <col min="6139" max="6139" width="10.28515625" customWidth="1"/>
    <col min="6140" max="6140" width="15.28515625" customWidth="1"/>
    <col min="6141" max="6142" width="10.140625" customWidth="1"/>
    <col min="6143" max="6143" width="13.42578125" customWidth="1"/>
    <col min="6144" max="6145" width="10.140625" customWidth="1"/>
    <col min="6146" max="6146" width="12.42578125" customWidth="1"/>
    <col min="6147" max="6149" width="0" hidden="1" customWidth="1"/>
    <col min="6150" max="6150" width="11.5703125" customWidth="1"/>
    <col min="6151" max="6151" width="11.85546875" customWidth="1"/>
    <col min="6152" max="6152" width="15.7109375" customWidth="1"/>
    <col min="6153" max="6153" width="1.5703125" customWidth="1"/>
    <col min="6154" max="6154" width="10.5703125" customWidth="1"/>
    <col min="6155" max="6155" width="20.7109375" customWidth="1"/>
    <col min="6156" max="6156" width="2" customWidth="1"/>
    <col min="6157" max="6157" width="10.140625" customWidth="1"/>
    <col min="6158" max="6158" width="13.7109375" customWidth="1"/>
    <col min="6159" max="6159" width="9.42578125" customWidth="1"/>
    <col min="6160" max="6160" width="10.7109375" bestFit="1" customWidth="1"/>
    <col min="6161" max="6161" width="16.5703125" customWidth="1"/>
    <col min="6162" max="6162" width="16" customWidth="1"/>
    <col min="6163" max="6372" width="9.42578125" customWidth="1"/>
    <col min="6373" max="6373" width="7.140625" customWidth="1"/>
    <col min="6374" max="6374" width="35.28515625" customWidth="1"/>
    <col min="6375" max="6375" width="6.7109375" customWidth="1"/>
    <col min="6376" max="6376" width="5.7109375" customWidth="1"/>
    <col min="6377" max="6377" width="5.85546875" customWidth="1"/>
    <col min="6378" max="6378" width="7.85546875" customWidth="1"/>
    <col min="6383" max="6383" width="7.140625" customWidth="1"/>
    <col min="6384" max="6384" width="39.42578125" customWidth="1"/>
    <col min="6385" max="6385" width="6.7109375" customWidth="1"/>
    <col min="6386" max="6386" width="5.7109375" customWidth="1"/>
    <col min="6387" max="6387" width="5.85546875" customWidth="1"/>
    <col min="6388" max="6388" width="7.85546875" customWidth="1"/>
    <col min="6389" max="6389" width="14.28515625" customWidth="1"/>
    <col min="6390" max="6390" width="14" customWidth="1"/>
    <col min="6391" max="6391" width="10.140625" customWidth="1"/>
    <col min="6392" max="6392" width="11" customWidth="1"/>
    <col min="6393" max="6393" width="13.5703125" customWidth="1"/>
    <col min="6394" max="6394" width="8.7109375" customWidth="1"/>
    <col min="6395" max="6395" width="10.28515625" customWidth="1"/>
    <col min="6396" max="6396" width="15.28515625" customWidth="1"/>
    <col min="6397" max="6398" width="10.140625" customWidth="1"/>
    <col min="6399" max="6399" width="13.42578125" customWidth="1"/>
    <col min="6400" max="6401" width="10.140625" customWidth="1"/>
    <col min="6402" max="6402" width="12.42578125" customWidth="1"/>
    <col min="6403" max="6405" width="0" hidden="1" customWidth="1"/>
    <col min="6406" max="6406" width="11.5703125" customWidth="1"/>
    <col min="6407" max="6407" width="11.85546875" customWidth="1"/>
    <col min="6408" max="6408" width="15.7109375" customWidth="1"/>
    <col min="6409" max="6409" width="1.5703125" customWidth="1"/>
    <col min="6410" max="6410" width="10.5703125" customWidth="1"/>
    <col min="6411" max="6411" width="20.7109375" customWidth="1"/>
    <col min="6412" max="6412" width="2" customWidth="1"/>
    <col min="6413" max="6413" width="10.140625" customWidth="1"/>
    <col min="6414" max="6414" width="13.7109375" customWidth="1"/>
    <col min="6415" max="6415" width="9.42578125" customWidth="1"/>
    <col min="6416" max="6416" width="10.7109375" bestFit="1" customWidth="1"/>
    <col min="6417" max="6417" width="16.5703125" customWidth="1"/>
    <col min="6418" max="6418" width="16" customWidth="1"/>
    <col min="6419" max="6628" width="9.42578125" customWidth="1"/>
    <col min="6629" max="6629" width="7.140625" customWidth="1"/>
    <col min="6630" max="6630" width="35.28515625" customWidth="1"/>
    <col min="6631" max="6631" width="6.7109375" customWidth="1"/>
    <col min="6632" max="6632" width="5.7109375" customWidth="1"/>
    <col min="6633" max="6633" width="5.85546875" customWidth="1"/>
    <col min="6634" max="6634" width="7.85546875" customWidth="1"/>
    <col min="6639" max="6639" width="7.140625" customWidth="1"/>
    <col min="6640" max="6640" width="39.42578125" customWidth="1"/>
    <col min="6641" max="6641" width="6.7109375" customWidth="1"/>
    <col min="6642" max="6642" width="5.7109375" customWidth="1"/>
    <col min="6643" max="6643" width="5.85546875" customWidth="1"/>
    <col min="6644" max="6644" width="7.85546875" customWidth="1"/>
    <col min="6645" max="6645" width="14.28515625" customWidth="1"/>
    <col min="6646" max="6646" width="14" customWidth="1"/>
    <col min="6647" max="6647" width="10.140625" customWidth="1"/>
    <col min="6648" max="6648" width="11" customWidth="1"/>
    <col min="6649" max="6649" width="13.5703125" customWidth="1"/>
    <col min="6650" max="6650" width="8.7109375" customWidth="1"/>
    <col min="6651" max="6651" width="10.28515625" customWidth="1"/>
    <col min="6652" max="6652" width="15.28515625" customWidth="1"/>
    <col min="6653" max="6654" width="10.140625" customWidth="1"/>
    <col min="6655" max="6655" width="13.42578125" customWidth="1"/>
    <col min="6656" max="6657" width="10.140625" customWidth="1"/>
    <col min="6658" max="6658" width="12.42578125" customWidth="1"/>
    <col min="6659" max="6661" width="0" hidden="1" customWidth="1"/>
    <col min="6662" max="6662" width="11.5703125" customWidth="1"/>
    <col min="6663" max="6663" width="11.85546875" customWidth="1"/>
    <col min="6664" max="6664" width="15.7109375" customWidth="1"/>
    <col min="6665" max="6665" width="1.5703125" customWidth="1"/>
    <col min="6666" max="6666" width="10.5703125" customWidth="1"/>
    <col min="6667" max="6667" width="20.7109375" customWidth="1"/>
    <col min="6668" max="6668" width="2" customWidth="1"/>
    <col min="6669" max="6669" width="10.140625" customWidth="1"/>
    <col min="6670" max="6670" width="13.7109375" customWidth="1"/>
    <col min="6671" max="6671" width="9.42578125" customWidth="1"/>
    <col min="6672" max="6672" width="10.7109375" bestFit="1" customWidth="1"/>
    <col min="6673" max="6673" width="16.5703125" customWidth="1"/>
    <col min="6674" max="6674" width="16" customWidth="1"/>
    <col min="6675" max="6884" width="9.42578125" customWidth="1"/>
    <col min="6885" max="6885" width="7.140625" customWidth="1"/>
    <col min="6886" max="6886" width="35.28515625" customWidth="1"/>
    <col min="6887" max="6887" width="6.7109375" customWidth="1"/>
    <col min="6888" max="6888" width="5.7109375" customWidth="1"/>
    <col min="6889" max="6889" width="5.85546875" customWidth="1"/>
    <col min="6890" max="6890" width="7.85546875" customWidth="1"/>
    <col min="6895" max="6895" width="7.140625" customWidth="1"/>
    <col min="6896" max="6896" width="39.42578125" customWidth="1"/>
    <col min="6897" max="6897" width="6.7109375" customWidth="1"/>
    <col min="6898" max="6898" width="5.7109375" customWidth="1"/>
    <col min="6899" max="6899" width="5.85546875" customWidth="1"/>
    <col min="6900" max="6900" width="7.85546875" customWidth="1"/>
    <col min="6901" max="6901" width="14.28515625" customWidth="1"/>
    <col min="6902" max="6902" width="14" customWidth="1"/>
    <col min="6903" max="6903" width="10.140625" customWidth="1"/>
    <col min="6904" max="6904" width="11" customWidth="1"/>
    <col min="6905" max="6905" width="13.5703125" customWidth="1"/>
    <col min="6906" max="6906" width="8.7109375" customWidth="1"/>
    <col min="6907" max="6907" width="10.28515625" customWidth="1"/>
    <col min="6908" max="6908" width="15.28515625" customWidth="1"/>
    <col min="6909" max="6910" width="10.140625" customWidth="1"/>
    <col min="6911" max="6911" width="13.42578125" customWidth="1"/>
    <col min="6912" max="6913" width="10.140625" customWidth="1"/>
    <col min="6914" max="6914" width="12.42578125" customWidth="1"/>
    <col min="6915" max="6917" width="0" hidden="1" customWidth="1"/>
    <col min="6918" max="6918" width="11.5703125" customWidth="1"/>
    <col min="6919" max="6919" width="11.85546875" customWidth="1"/>
    <col min="6920" max="6920" width="15.7109375" customWidth="1"/>
    <col min="6921" max="6921" width="1.5703125" customWidth="1"/>
    <col min="6922" max="6922" width="10.5703125" customWidth="1"/>
    <col min="6923" max="6923" width="20.7109375" customWidth="1"/>
    <col min="6924" max="6924" width="2" customWidth="1"/>
    <col min="6925" max="6925" width="10.140625" customWidth="1"/>
    <col min="6926" max="6926" width="13.7109375" customWidth="1"/>
    <col min="6927" max="6927" width="9.42578125" customWidth="1"/>
    <col min="6928" max="6928" width="10.7109375" bestFit="1" customWidth="1"/>
    <col min="6929" max="6929" width="16.5703125" customWidth="1"/>
    <col min="6930" max="6930" width="16" customWidth="1"/>
    <col min="6931" max="7140" width="9.42578125" customWidth="1"/>
    <col min="7141" max="7141" width="7.140625" customWidth="1"/>
    <col min="7142" max="7142" width="35.28515625" customWidth="1"/>
    <col min="7143" max="7143" width="6.7109375" customWidth="1"/>
    <col min="7144" max="7144" width="5.7109375" customWidth="1"/>
    <col min="7145" max="7145" width="5.85546875" customWidth="1"/>
    <col min="7146" max="7146" width="7.85546875" customWidth="1"/>
    <col min="7151" max="7151" width="7.140625" customWidth="1"/>
    <col min="7152" max="7152" width="39.42578125" customWidth="1"/>
    <col min="7153" max="7153" width="6.7109375" customWidth="1"/>
    <col min="7154" max="7154" width="5.7109375" customWidth="1"/>
    <col min="7155" max="7155" width="5.85546875" customWidth="1"/>
    <col min="7156" max="7156" width="7.85546875" customWidth="1"/>
    <col min="7157" max="7157" width="14.28515625" customWidth="1"/>
    <col min="7158" max="7158" width="14" customWidth="1"/>
    <col min="7159" max="7159" width="10.140625" customWidth="1"/>
    <col min="7160" max="7160" width="11" customWidth="1"/>
    <col min="7161" max="7161" width="13.5703125" customWidth="1"/>
    <col min="7162" max="7162" width="8.7109375" customWidth="1"/>
    <col min="7163" max="7163" width="10.28515625" customWidth="1"/>
    <col min="7164" max="7164" width="15.28515625" customWidth="1"/>
    <col min="7165" max="7166" width="10.140625" customWidth="1"/>
    <col min="7167" max="7167" width="13.42578125" customWidth="1"/>
    <col min="7168" max="7169" width="10.140625" customWidth="1"/>
    <col min="7170" max="7170" width="12.42578125" customWidth="1"/>
    <col min="7171" max="7173" width="0" hidden="1" customWidth="1"/>
    <col min="7174" max="7174" width="11.5703125" customWidth="1"/>
    <col min="7175" max="7175" width="11.85546875" customWidth="1"/>
    <col min="7176" max="7176" width="15.7109375" customWidth="1"/>
    <col min="7177" max="7177" width="1.5703125" customWidth="1"/>
    <col min="7178" max="7178" width="10.5703125" customWidth="1"/>
    <col min="7179" max="7179" width="20.7109375" customWidth="1"/>
    <col min="7180" max="7180" width="2" customWidth="1"/>
    <col min="7181" max="7181" width="10.140625" customWidth="1"/>
    <col min="7182" max="7182" width="13.7109375" customWidth="1"/>
    <col min="7183" max="7183" width="9.42578125" customWidth="1"/>
    <col min="7184" max="7184" width="10.7109375" bestFit="1" customWidth="1"/>
    <col min="7185" max="7185" width="16.5703125" customWidth="1"/>
    <col min="7186" max="7186" width="16" customWidth="1"/>
    <col min="7187" max="7396" width="9.42578125" customWidth="1"/>
    <col min="7397" max="7397" width="7.140625" customWidth="1"/>
    <col min="7398" max="7398" width="35.28515625" customWidth="1"/>
    <col min="7399" max="7399" width="6.7109375" customWidth="1"/>
    <col min="7400" max="7400" width="5.7109375" customWidth="1"/>
    <col min="7401" max="7401" width="5.85546875" customWidth="1"/>
    <col min="7402" max="7402" width="7.85546875" customWidth="1"/>
    <col min="7407" max="7407" width="7.140625" customWidth="1"/>
    <col min="7408" max="7408" width="39.42578125" customWidth="1"/>
    <col min="7409" max="7409" width="6.7109375" customWidth="1"/>
    <col min="7410" max="7410" width="5.7109375" customWidth="1"/>
    <col min="7411" max="7411" width="5.85546875" customWidth="1"/>
    <col min="7412" max="7412" width="7.85546875" customWidth="1"/>
    <col min="7413" max="7413" width="14.28515625" customWidth="1"/>
    <col min="7414" max="7414" width="14" customWidth="1"/>
    <col min="7415" max="7415" width="10.140625" customWidth="1"/>
    <col min="7416" max="7416" width="11" customWidth="1"/>
    <col min="7417" max="7417" width="13.5703125" customWidth="1"/>
    <col min="7418" max="7418" width="8.7109375" customWidth="1"/>
    <col min="7419" max="7419" width="10.28515625" customWidth="1"/>
    <col min="7420" max="7420" width="15.28515625" customWidth="1"/>
    <col min="7421" max="7422" width="10.140625" customWidth="1"/>
    <col min="7423" max="7423" width="13.42578125" customWidth="1"/>
    <col min="7424" max="7425" width="10.140625" customWidth="1"/>
    <col min="7426" max="7426" width="12.42578125" customWidth="1"/>
    <col min="7427" max="7429" width="0" hidden="1" customWidth="1"/>
    <col min="7430" max="7430" width="11.5703125" customWidth="1"/>
    <col min="7431" max="7431" width="11.85546875" customWidth="1"/>
    <col min="7432" max="7432" width="15.7109375" customWidth="1"/>
    <col min="7433" max="7433" width="1.5703125" customWidth="1"/>
    <col min="7434" max="7434" width="10.5703125" customWidth="1"/>
    <col min="7435" max="7435" width="20.7109375" customWidth="1"/>
    <col min="7436" max="7436" width="2" customWidth="1"/>
    <col min="7437" max="7437" width="10.140625" customWidth="1"/>
    <col min="7438" max="7438" width="13.7109375" customWidth="1"/>
    <col min="7439" max="7439" width="9.42578125" customWidth="1"/>
    <col min="7440" max="7440" width="10.7109375" bestFit="1" customWidth="1"/>
    <col min="7441" max="7441" width="16.5703125" customWidth="1"/>
    <col min="7442" max="7442" width="16" customWidth="1"/>
    <col min="7443" max="7652" width="9.42578125" customWidth="1"/>
    <col min="7653" max="7653" width="7.140625" customWidth="1"/>
    <col min="7654" max="7654" width="35.28515625" customWidth="1"/>
    <col min="7655" max="7655" width="6.7109375" customWidth="1"/>
    <col min="7656" max="7656" width="5.7109375" customWidth="1"/>
    <col min="7657" max="7657" width="5.85546875" customWidth="1"/>
    <col min="7658" max="7658" width="7.85546875" customWidth="1"/>
    <col min="7663" max="7663" width="7.140625" customWidth="1"/>
    <col min="7664" max="7664" width="39.42578125" customWidth="1"/>
    <col min="7665" max="7665" width="6.7109375" customWidth="1"/>
    <col min="7666" max="7666" width="5.7109375" customWidth="1"/>
    <col min="7667" max="7667" width="5.85546875" customWidth="1"/>
    <col min="7668" max="7668" width="7.85546875" customWidth="1"/>
    <col min="7669" max="7669" width="14.28515625" customWidth="1"/>
    <col min="7670" max="7670" width="14" customWidth="1"/>
    <col min="7671" max="7671" width="10.140625" customWidth="1"/>
    <col min="7672" max="7672" width="11" customWidth="1"/>
    <col min="7673" max="7673" width="13.5703125" customWidth="1"/>
    <col min="7674" max="7674" width="8.7109375" customWidth="1"/>
    <col min="7675" max="7675" width="10.28515625" customWidth="1"/>
    <col min="7676" max="7676" width="15.28515625" customWidth="1"/>
    <col min="7677" max="7678" width="10.140625" customWidth="1"/>
    <col min="7679" max="7679" width="13.42578125" customWidth="1"/>
    <col min="7680" max="7681" width="10.140625" customWidth="1"/>
    <col min="7682" max="7682" width="12.42578125" customWidth="1"/>
    <col min="7683" max="7685" width="0" hidden="1" customWidth="1"/>
    <col min="7686" max="7686" width="11.5703125" customWidth="1"/>
    <col min="7687" max="7687" width="11.85546875" customWidth="1"/>
    <col min="7688" max="7688" width="15.7109375" customWidth="1"/>
    <col min="7689" max="7689" width="1.5703125" customWidth="1"/>
    <col min="7690" max="7690" width="10.5703125" customWidth="1"/>
    <col min="7691" max="7691" width="20.7109375" customWidth="1"/>
    <col min="7692" max="7692" width="2" customWidth="1"/>
    <col min="7693" max="7693" width="10.140625" customWidth="1"/>
    <col min="7694" max="7694" width="13.7109375" customWidth="1"/>
    <col min="7695" max="7695" width="9.42578125" customWidth="1"/>
    <col min="7696" max="7696" width="10.7109375" bestFit="1" customWidth="1"/>
    <col min="7697" max="7697" width="16.5703125" customWidth="1"/>
    <col min="7698" max="7698" width="16" customWidth="1"/>
    <col min="7699" max="7908" width="9.42578125" customWidth="1"/>
    <col min="7909" max="7909" width="7.140625" customWidth="1"/>
    <col min="7910" max="7910" width="35.28515625" customWidth="1"/>
    <col min="7911" max="7911" width="6.7109375" customWidth="1"/>
    <col min="7912" max="7912" width="5.7109375" customWidth="1"/>
    <col min="7913" max="7913" width="5.85546875" customWidth="1"/>
    <col min="7914" max="7914" width="7.85546875" customWidth="1"/>
    <col min="7919" max="7919" width="7.140625" customWidth="1"/>
    <col min="7920" max="7920" width="39.42578125" customWidth="1"/>
    <col min="7921" max="7921" width="6.7109375" customWidth="1"/>
    <col min="7922" max="7922" width="5.7109375" customWidth="1"/>
    <col min="7923" max="7923" width="5.85546875" customWidth="1"/>
    <col min="7924" max="7924" width="7.85546875" customWidth="1"/>
    <col min="7925" max="7925" width="14.28515625" customWidth="1"/>
    <col min="7926" max="7926" width="14" customWidth="1"/>
    <col min="7927" max="7927" width="10.140625" customWidth="1"/>
    <col min="7928" max="7928" width="11" customWidth="1"/>
    <col min="7929" max="7929" width="13.5703125" customWidth="1"/>
    <col min="7930" max="7930" width="8.7109375" customWidth="1"/>
    <col min="7931" max="7931" width="10.28515625" customWidth="1"/>
    <col min="7932" max="7932" width="15.28515625" customWidth="1"/>
    <col min="7933" max="7934" width="10.140625" customWidth="1"/>
    <col min="7935" max="7935" width="13.42578125" customWidth="1"/>
    <col min="7936" max="7937" width="10.140625" customWidth="1"/>
    <col min="7938" max="7938" width="12.42578125" customWidth="1"/>
    <col min="7939" max="7941" width="0" hidden="1" customWidth="1"/>
    <col min="7942" max="7942" width="11.5703125" customWidth="1"/>
    <col min="7943" max="7943" width="11.85546875" customWidth="1"/>
    <col min="7944" max="7944" width="15.7109375" customWidth="1"/>
    <col min="7945" max="7945" width="1.5703125" customWidth="1"/>
    <col min="7946" max="7946" width="10.5703125" customWidth="1"/>
    <col min="7947" max="7947" width="20.7109375" customWidth="1"/>
    <col min="7948" max="7948" width="2" customWidth="1"/>
    <col min="7949" max="7949" width="10.140625" customWidth="1"/>
    <col min="7950" max="7950" width="13.7109375" customWidth="1"/>
    <col min="7951" max="7951" width="9.42578125" customWidth="1"/>
    <col min="7952" max="7952" width="10.7109375" bestFit="1" customWidth="1"/>
    <col min="7953" max="7953" width="16.5703125" customWidth="1"/>
    <col min="7954" max="7954" width="16" customWidth="1"/>
    <col min="7955" max="8164" width="9.42578125" customWidth="1"/>
    <col min="8165" max="8165" width="7.140625" customWidth="1"/>
    <col min="8166" max="8166" width="35.28515625" customWidth="1"/>
    <col min="8167" max="8167" width="6.7109375" customWidth="1"/>
    <col min="8168" max="8168" width="5.7109375" customWidth="1"/>
    <col min="8169" max="8169" width="5.85546875" customWidth="1"/>
    <col min="8170" max="8170" width="7.85546875" customWidth="1"/>
    <col min="8175" max="8175" width="7.140625" customWidth="1"/>
    <col min="8176" max="8176" width="39.42578125" customWidth="1"/>
    <col min="8177" max="8177" width="6.7109375" customWidth="1"/>
    <col min="8178" max="8178" width="5.7109375" customWidth="1"/>
    <col min="8179" max="8179" width="5.85546875" customWidth="1"/>
    <col min="8180" max="8180" width="7.85546875" customWidth="1"/>
    <col min="8181" max="8181" width="14.28515625" customWidth="1"/>
    <col min="8182" max="8182" width="14" customWidth="1"/>
    <col min="8183" max="8183" width="10.140625" customWidth="1"/>
    <col min="8184" max="8184" width="11" customWidth="1"/>
    <col min="8185" max="8185" width="13.5703125" customWidth="1"/>
    <col min="8186" max="8186" width="8.7109375" customWidth="1"/>
    <col min="8187" max="8187" width="10.28515625" customWidth="1"/>
    <col min="8188" max="8188" width="15.28515625" customWidth="1"/>
    <col min="8189" max="8190" width="10.140625" customWidth="1"/>
    <col min="8191" max="8191" width="13.42578125" customWidth="1"/>
    <col min="8192" max="8193" width="10.140625" customWidth="1"/>
    <col min="8194" max="8194" width="12.42578125" customWidth="1"/>
    <col min="8195" max="8197" width="0" hidden="1" customWidth="1"/>
    <col min="8198" max="8198" width="11.5703125" customWidth="1"/>
    <col min="8199" max="8199" width="11.85546875" customWidth="1"/>
    <col min="8200" max="8200" width="15.7109375" customWidth="1"/>
    <col min="8201" max="8201" width="1.5703125" customWidth="1"/>
    <col min="8202" max="8202" width="10.5703125" customWidth="1"/>
    <col min="8203" max="8203" width="20.7109375" customWidth="1"/>
    <col min="8204" max="8204" width="2" customWidth="1"/>
    <col min="8205" max="8205" width="10.140625" customWidth="1"/>
    <col min="8206" max="8206" width="13.7109375" customWidth="1"/>
    <col min="8207" max="8207" width="9.42578125" customWidth="1"/>
    <col min="8208" max="8208" width="10.7109375" bestFit="1" customWidth="1"/>
    <col min="8209" max="8209" width="16.5703125" customWidth="1"/>
    <col min="8210" max="8210" width="16" customWidth="1"/>
    <col min="8211" max="8420" width="9.42578125" customWidth="1"/>
    <col min="8421" max="8421" width="7.140625" customWidth="1"/>
    <col min="8422" max="8422" width="35.28515625" customWidth="1"/>
    <col min="8423" max="8423" width="6.7109375" customWidth="1"/>
    <col min="8424" max="8424" width="5.7109375" customWidth="1"/>
    <col min="8425" max="8425" width="5.85546875" customWidth="1"/>
    <col min="8426" max="8426" width="7.85546875" customWidth="1"/>
    <col min="8431" max="8431" width="7.140625" customWidth="1"/>
    <col min="8432" max="8432" width="39.42578125" customWidth="1"/>
    <col min="8433" max="8433" width="6.7109375" customWidth="1"/>
    <col min="8434" max="8434" width="5.7109375" customWidth="1"/>
    <col min="8435" max="8435" width="5.85546875" customWidth="1"/>
    <col min="8436" max="8436" width="7.85546875" customWidth="1"/>
    <col min="8437" max="8437" width="14.28515625" customWidth="1"/>
    <col min="8438" max="8438" width="14" customWidth="1"/>
    <col min="8439" max="8439" width="10.140625" customWidth="1"/>
    <col min="8440" max="8440" width="11" customWidth="1"/>
    <col min="8441" max="8441" width="13.5703125" customWidth="1"/>
    <col min="8442" max="8442" width="8.7109375" customWidth="1"/>
    <col min="8443" max="8443" width="10.28515625" customWidth="1"/>
    <col min="8444" max="8444" width="15.28515625" customWidth="1"/>
    <col min="8445" max="8446" width="10.140625" customWidth="1"/>
    <col min="8447" max="8447" width="13.42578125" customWidth="1"/>
    <col min="8448" max="8449" width="10.140625" customWidth="1"/>
    <col min="8450" max="8450" width="12.42578125" customWidth="1"/>
    <col min="8451" max="8453" width="0" hidden="1" customWidth="1"/>
    <col min="8454" max="8454" width="11.5703125" customWidth="1"/>
    <col min="8455" max="8455" width="11.85546875" customWidth="1"/>
    <col min="8456" max="8456" width="15.7109375" customWidth="1"/>
    <col min="8457" max="8457" width="1.5703125" customWidth="1"/>
    <col min="8458" max="8458" width="10.5703125" customWidth="1"/>
    <col min="8459" max="8459" width="20.7109375" customWidth="1"/>
    <col min="8460" max="8460" width="2" customWidth="1"/>
    <col min="8461" max="8461" width="10.140625" customWidth="1"/>
    <col min="8462" max="8462" width="13.7109375" customWidth="1"/>
    <col min="8463" max="8463" width="9.42578125" customWidth="1"/>
    <col min="8464" max="8464" width="10.7109375" bestFit="1" customWidth="1"/>
    <col min="8465" max="8465" width="16.5703125" customWidth="1"/>
    <col min="8466" max="8466" width="16" customWidth="1"/>
    <col min="8467" max="8676" width="9.42578125" customWidth="1"/>
    <col min="8677" max="8677" width="7.140625" customWidth="1"/>
    <col min="8678" max="8678" width="35.28515625" customWidth="1"/>
    <col min="8679" max="8679" width="6.7109375" customWidth="1"/>
    <col min="8680" max="8680" width="5.7109375" customWidth="1"/>
    <col min="8681" max="8681" width="5.85546875" customWidth="1"/>
    <col min="8682" max="8682" width="7.85546875" customWidth="1"/>
    <col min="8687" max="8687" width="7.140625" customWidth="1"/>
    <col min="8688" max="8688" width="39.42578125" customWidth="1"/>
    <col min="8689" max="8689" width="6.7109375" customWidth="1"/>
    <col min="8690" max="8690" width="5.7109375" customWidth="1"/>
    <col min="8691" max="8691" width="5.85546875" customWidth="1"/>
    <col min="8692" max="8692" width="7.85546875" customWidth="1"/>
    <col min="8693" max="8693" width="14.28515625" customWidth="1"/>
    <col min="8694" max="8694" width="14" customWidth="1"/>
    <col min="8695" max="8695" width="10.140625" customWidth="1"/>
    <col min="8696" max="8696" width="11" customWidth="1"/>
    <col min="8697" max="8697" width="13.5703125" customWidth="1"/>
    <col min="8698" max="8698" width="8.7109375" customWidth="1"/>
    <col min="8699" max="8699" width="10.28515625" customWidth="1"/>
    <col min="8700" max="8700" width="15.28515625" customWidth="1"/>
    <col min="8701" max="8702" width="10.140625" customWidth="1"/>
    <col min="8703" max="8703" width="13.42578125" customWidth="1"/>
    <col min="8704" max="8705" width="10.140625" customWidth="1"/>
    <col min="8706" max="8706" width="12.42578125" customWidth="1"/>
    <col min="8707" max="8709" width="0" hidden="1" customWidth="1"/>
    <col min="8710" max="8710" width="11.5703125" customWidth="1"/>
    <col min="8711" max="8711" width="11.85546875" customWidth="1"/>
    <col min="8712" max="8712" width="15.7109375" customWidth="1"/>
    <col min="8713" max="8713" width="1.5703125" customWidth="1"/>
    <col min="8714" max="8714" width="10.5703125" customWidth="1"/>
    <col min="8715" max="8715" width="20.7109375" customWidth="1"/>
    <col min="8716" max="8716" width="2" customWidth="1"/>
    <col min="8717" max="8717" width="10.140625" customWidth="1"/>
    <col min="8718" max="8718" width="13.7109375" customWidth="1"/>
    <col min="8719" max="8719" width="9.42578125" customWidth="1"/>
    <col min="8720" max="8720" width="10.7109375" bestFit="1" customWidth="1"/>
    <col min="8721" max="8721" width="16.5703125" customWidth="1"/>
    <col min="8722" max="8722" width="16" customWidth="1"/>
    <col min="8723" max="8932" width="9.42578125" customWidth="1"/>
    <col min="8933" max="8933" width="7.140625" customWidth="1"/>
    <col min="8934" max="8934" width="35.28515625" customWidth="1"/>
    <col min="8935" max="8935" width="6.7109375" customWidth="1"/>
    <col min="8936" max="8936" width="5.7109375" customWidth="1"/>
    <col min="8937" max="8937" width="5.85546875" customWidth="1"/>
    <col min="8938" max="8938" width="7.85546875" customWidth="1"/>
    <col min="8943" max="8943" width="7.140625" customWidth="1"/>
    <col min="8944" max="8944" width="39.42578125" customWidth="1"/>
    <col min="8945" max="8945" width="6.7109375" customWidth="1"/>
    <col min="8946" max="8946" width="5.7109375" customWidth="1"/>
    <col min="8947" max="8947" width="5.85546875" customWidth="1"/>
    <col min="8948" max="8948" width="7.85546875" customWidth="1"/>
    <col min="8949" max="8949" width="14.28515625" customWidth="1"/>
    <col min="8950" max="8950" width="14" customWidth="1"/>
    <col min="8951" max="8951" width="10.140625" customWidth="1"/>
    <col min="8952" max="8952" width="11" customWidth="1"/>
    <col min="8953" max="8953" width="13.5703125" customWidth="1"/>
    <col min="8954" max="8954" width="8.7109375" customWidth="1"/>
    <col min="8955" max="8955" width="10.28515625" customWidth="1"/>
    <col min="8956" max="8956" width="15.28515625" customWidth="1"/>
    <col min="8957" max="8958" width="10.140625" customWidth="1"/>
    <col min="8959" max="8959" width="13.42578125" customWidth="1"/>
    <col min="8960" max="8961" width="10.140625" customWidth="1"/>
    <col min="8962" max="8962" width="12.42578125" customWidth="1"/>
    <col min="8963" max="8965" width="0" hidden="1" customWidth="1"/>
    <col min="8966" max="8966" width="11.5703125" customWidth="1"/>
    <col min="8967" max="8967" width="11.85546875" customWidth="1"/>
    <col min="8968" max="8968" width="15.7109375" customWidth="1"/>
    <col min="8969" max="8969" width="1.5703125" customWidth="1"/>
    <col min="8970" max="8970" width="10.5703125" customWidth="1"/>
    <col min="8971" max="8971" width="20.7109375" customWidth="1"/>
    <col min="8972" max="8972" width="2" customWidth="1"/>
    <col min="8973" max="8973" width="10.140625" customWidth="1"/>
    <col min="8974" max="8974" width="13.7109375" customWidth="1"/>
    <col min="8975" max="8975" width="9.42578125" customWidth="1"/>
    <col min="8976" max="8976" width="10.7109375" bestFit="1" customWidth="1"/>
    <col min="8977" max="8977" width="16.5703125" customWidth="1"/>
    <col min="8978" max="8978" width="16" customWidth="1"/>
    <col min="8979" max="9188" width="9.42578125" customWidth="1"/>
    <col min="9189" max="9189" width="7.140625" customWidth="1"/>
    <col min="9190" max="9190" width="35.28515625" customWidth="1"/>
    <col min="9191" max="9191" width="6.7109375" customWidth="1"/>
    <col min="9192" max="9192" width="5.7109375" customWidth="1"/>
    <col min="9193" max="9193" width="5.85546875" customWidth="1"/>
    <col min="9194" max="9194" width="7.85546875" customWidth="1"/>
    <col min="9199" max="9199" width="7.140625" customWidth="1"/>
    <col min="9200" max="9200" width="39.42578125" customWidth="1"/>
    <col min="9201" max="9201" width="6.7109375" customWidth="1"/>
    <col min="9202" max="9202" width="5.7109375" customWidth="1"/>
    <col min="9203" max="9203" width="5.85546875" customWidth="1"/>
    <col min="9204" max="9204" width="7.85546875" customWidth="1"/>
    <col min="9205" max="9205" width="14.28515625" customWidth="1"/>
    <col min="9206" max="9206" width="14" customWidth="1"/>
    <col min="9207" max="9207" width="10.140625" customWidth="1"/>
    <col min="9208" max="9208" width="11" customWidth="1"/>
    <col min="9209" max="9209" width="13.5703125" customWidth="1"/>
    <col min="9210" max="9210" width="8.7109375" customWidth="1"/>
    <col min="9211" max="9211" width="10.28515625" customWidth="1"/>
    <col min="9212" max="9212" width="15.28515625" customWidth="1"/>
    <col min="9213" max="9214" width="10.140625" customWidth="1"/>
    <col min="9215" max="9215" width="13.42578125" customWidth="1"/>
    <col min="9216" max="9217" width="10.140625" customWidth="1"/>
    <col min="9218" max="9218" width="12.42578125" customWidth="1"/>
    <col min="9219" max="9221" width="0" hidden="1" customWidth="1"/>
    <col min="9222" max="9222" width="11.5703125" customWidth="1"/>
    <col min="9223" max="9223" width="11.85546875" customWidth="1"/>
    <col min="9224" max="9224" width="15.7109375" customWidth="1"/>
    <col min="9225" max="9225" width="1.5703125" customWidth="1"/>
    <col min="9226" max="9226" width="10.5703125" customWidth="1"/>
    <col min="9227" max="9227" width="20.7109375" customWidth="1"/>
    <col min="9228" max="9228" width="2" customWidth="1"/>
    <col min="9229" max="9229" width="10.140625" customWidth="1"/>
    <col min="9230" max="9230" width="13.7109375" customWidth="1"/>
    <col min="9231" max="9231" width="9.42578125" customWidth="1"/>
    <col min="9232" max="9232" width="10.7109375" bestFit="1" customWidth="1"/>
    <col min="9233" max="9233" width="16.5703125" customWidth="1"/>
    <col min="9234" max="9234" width="16" customWidth="1"/>
    <col min="9235" max="9444" width="9.42578125" customWidth="1"/>
    <col min="9445" max="9445" width="7.140625" customWidth="1"/>
    <col min="9446" max="9446" width="35.28515625" customWidth="1"/>
    <col min="9447" max="9447" width="6.7109375" customWidth="1"/>
    <col min="9448" max="9448" width="5.7109375" customWidth="1"/>
    <col min="9449" max="9449" width="5.85546875" customWidth="1"/>
    <col min="9450" max="9450" width="7.85546875" customWidth="1"/>
    <col min="9455" max="9455" width="7.140625" customWidth="1"/>
    <col min="9456" max="9456" width="39.42578125" customWidth="1"/>
    <col min="9457" max="9457" width="6.7109375" customWidth="1"/>
    <col min="9458" max="9458" width="5.7109375" customWidth="1"/>
    <col min="9459" max="9459" width="5.85546875" customWidth="1"/>
    <col min="9460" max="9460" width="7.85546875" customWidth="1"/>
    <col min="9461" max="9461" width="14.28515625" customWidth="1"/>
    <col min="9462" max="9462" width="14" customWidth="1"/>
    <col min="9463" max="9463" width="10.140625" customWidth="1"/>
    <col min="9464" max="9464" width="11" customWidth="1"/>
    <col min="9465" max="9465" width="13.5703125" customWidth="1"/>
    <col min="9466" max="9466" width="8.7109375" customWidth="1"/>
    <col min="9467" max="9467" width="10.28515625" customWidth="1"/>
    <col min="9468" max="9468" width="15.28515625" customWidth="1"/>
    <col min="9469" max="9470" width="10.140625" customWidth="1"/>
    <col min="9471" max="9471" width="13.42578125" customWidth="1"/>
    <col min="9472" max="9473" width="10.140625" customWidth="1"/>
    <col min="9474" max="9474" width="12.42578125" customWidth="1"/>
    <col min="9475" max="9477" width="0" hidden="1" customWidth="1"/>
    <col min="9478" max="9478" width="11.5703125" customWidth="1"/>
    <col min="9479" max="9479" width="11.85546875" customWidth="1"/>
    <col min="9480" max="9480" width="15.7109375" customWidth="1"/>
    <col min="9481" max="9481" width="1.5703125" customWidth="1"/>
    <col min="9482" max="9482" width="10.5703125" customWidth="1"/>
    <col min="9483" max="9483" width="20.7109375" customWidth="1"/>
    <col min="9484" max="9484" width="2" customWidth="1"/>
    <col min="9485" max="9485" width="10.140625" customWidth="1"/>
    <col min="9486" max="9486" width="13.7109375" customWidth="1"/>
    <col min="9487" max="9487" width="9.42578125" customWidth="1"/>
    <col min="9488" max="9488" width="10.7109375" bestFit="1" customWidth="1"/>
    <col min="9489" max="9489" width="16.5703125" customWidth="1"/>
    <col min="9490" max="9490" width="16" customWidth="1"/>
    <col min="9491" max="9700" width="9.42578125" customWidth="1"/>
    <col min="9701" max="9701" width="7.140625" customWidth="1"/>
    <col min="9702" max="9702" width="35.28515625" customWidth="1"/>
    <col min="9703" max="9703" width="6.7109375" customWidth="1"/>
    <col min="9704" max="9704" width="5.7109375" customWidth="1"/>
    <col min="9705" max="9705" width="5.85546875" customWidth="1"/>
    <col min="9706" max="9706" width="7.85546875" customWidth="1"/>
    <col min="9711" max="9711" width="7.140625" customWidth="1"/>
    <col min="9712" max="9712" width="39.42578125" customWidth="1"/>
    <col min="9713" max="9713" width="6.7109375" customWidth="1"/>
    <col min="9714" max="9714" width="5.7109375" customWidth="1"/>
    <col min="9715" max="9715" width="5.85546875" customWidth="1"/>
    <col min="9716" max="9716" width="7.85546875" customWidth="1"/>
    <col min="9717" max="9717" width="14.28515625" customWidth="1"/>
    <col min="9718" max="9718" width="14" customWidth="1"/>
    <col min="9719" max="9719" width="10.140625" customWidth="1"/>
    <col min="9720" max="9720" width="11" customWidth="1"/>
    <col min="9721" max="9721" width="13.5703125" customWidth="1"/>
    <col min="9722" max="9722" width="8.7109375" customWidth="1"/>
    <col min="9723" max="9723" width="10.28515625" customWidth="1"/>
    <col min="9724" max="9724" width="15.28515625" customWidth="1"/>
    <col min="9725" max="9726" width="10.140625" customWidth="1"/>
    <col min="9727" max="9727" width="13.42578125" customWidth="1"/>
    <col min="9728" max="9729" width="10.140625" customWidth="1"/>
    <col min="9730" max="9730" width="12.42578125" customWidth="1"/>
    <col min="9731" max="9733" width="0" hidden="1" customWidth="1"/>
    <col min="9734" max="9734" width="11.5703125" customWidth="1"/>
    <col min="9735" max="9735" width="11.85546875" customWidth="1"/>
    <col min="9736" max="9736" width="15.7109375" customWidth="1"/>
    <col min="9737" max="9737" width="1.5703125" customWidth="1"/>
    <col min="9738" max="9738" width="10.5703125" customWidth="1"/>
    <col min="9739" max="9739" width="20.7109375" customWidth="1"/>
    <col min="9740" max="9740" width="2" customWidth="1"/>
    <col min="9741" max="9741" width="10.140625" customWidth="1"/>
    <col min="9742" max="9742" width="13.7109375" customWidth="1"/>
    <col min="9743" max="9743" width="9.42578125" customWidth="1"/>
    <col min="9744" max="9744" width="10.7109375" bestFit="1" customWidth="1"/>
    <col min="9745" max="9745" width="16.5703125" customWidth="1"/>
    <col min="9746" max="9746" width="16" customWidth="1"/>
    <col min="9747" max="9956" width="9.42578125" customWidth="1"/>
    <col min="9957" max="9957" width="7.140625" customWidth="1"/>
    <col min="9958" max="9958" width="35.28515625" customWidth="1"/>
    <col min="9959" max="9959" width="6.7109375" customWidth="1"/>
    <col min="9960" max="9960" width="5.7109375" customWidth="1"/>
    <col min="9961" max="9961" width="5.85546875" customWidth="1"/>
    <col min="9962" max="9962" width="7.85546875" customWidth="1"/>
    <col min="9967" max="9967" width="7.140625" customWidth="1"/>
    <col min="9968" max="9968" width="39.42578125" customWidth="1"/>
    <col min="9969" max="9969" width="6.7109375" customWidth="1"/>
    <col min="9970" max="9970" width="5.7109375" customWidth="1"/>
    <col min="9971" max="9971" width="5.85546875" customWidth="1"/>
    <col min="9972" max="9972" width="7.85546875" customWidth="1"/>
    <col min="9973" max="9973" width="14.28515625" customWidth="1"/>
    <col min="9974" max="9974" width="14" customWidth="1"/>
    <col min="9975" max="9975" width="10.140625" customWidth="1"/>
    <col min="9976" max="9976" width="11" customWidth="1"/>
    <col min="9977" max="9977" width="13.5703125" customWidth="1"/>
    <col min="9978" max="9978" width="8.7109375" customWidth="1"/>
    <col min="9979" max="9979" width="10.28515625" customWidth="1"/>
    <col min="9980" max="9980" width="15.28515625" customWidth="1"/>
    <col min="9981" max="9982" width="10.140625" customWidth="1"/>
    <col min="9983" max="9983" width="13.42578125" customWidth="1"/>
    <col min="9984" max="9985" width="10.140625" customWidth="1"/>
    <col min="9986" max="9986" width="12.42578125" customWidth="1"/>
    <col min="9987" max="9989" width="0" hidden="1" customWidth="1"/>
    <col min="9990" max="9990" width="11.5703125" customWidth="1"/>
    <col min="9991" max="9991" width="11.85546875" customWidth="1"/>
    <col min="9992" max="9992" width="15.7109375" customWidth="1"/>
    <col min="9993" max="9993" width="1.5703125" customWidth="1"/>
    <col min="9994" max="9994" width="10.5703125" customWidth="1"/>
    <col min="9995" max="9995" width="20.7109375" customWidth="1"/>
    <col min="9996" max="9996" width="2" customWidth="1"/>
    <col min="9997" max="9997" width="10.140625" customWidth="1"/>
    <col min="9998" max="9998" width="13.7109375" customWidth="1"/>
    <col min="9999" max="9999" width="9.42578125" customWidth="1"/>
    <col min="10000" max="10000" width="10.7109375" bestFit="1" customWidth="1"/>
    <col min="10001" max="10001" width="16.5703125" customWidth="1"/>
    <col min="10002" max="10002" width="16" customWidth="1"/>
    <col min="10003" max="10212" width="9.42578125" customWidth="1"/>
    <col min="10213" max="10213" width="7.140625" customWidth="1"/>
    <col min="10214" max="10214" width="35.28515625" customWidth="1"/>
    <col min="10215" max="10215" width="6.7109375" customWidth="1"/>
    <col min="10216" max="10216" width="5.7109375" customWidth="1"/>
    <col min="10217" max="10217" width="5.85546875" customWidth="1"/>
    <col min="10218" max="10218" width="7.85546875" customWidth="1"/>
    <col min="10223" max="10223" width="7.140625" customWidth="1"/>
    <col min="10224" max="10224" width="39.42578125" customWidth="1"/>
    <col min="10225" max="10225" width="6.7109375" customWidth="1"/>
    <col min="10226" max="10226" width="5.7109375" customWidth="1"/>
    <col min="10227" max="10227" width="5.85546875" customWidth="1"/>
    <col min="10228" max="10228" width="7.85546875" customWidth="1"/>
    <col min="10229" max="10229" width="14.28515625" customWidth="1"/>
    <col min="10230" max="10230" width="14" customWidth="1"/>
    <col min="10231" max="10231" width="10.140625" customWidth="1"/>
    <col min="10232" max="10232" width="11" customWidth="1"/>
    <col min="10233" max="10233" width="13.5703125" customWidth="1"/>
    <col min="10234" max="10234" width="8.7109375" customWidth="1"/>
    <col min="10235" max="10235" width="10.28515625" customWidth="1"/>
    <col min="10236" max="10236" width="15.28515625" customWidth="1"/>
    <col min="10237" max="10238" width="10.140625" customWidth="1"/>
    <col min="10239" max="10239" width="13.42578125" customWidth="1"/>
    <col min="10240" max="10241" width="10.140625" customWidth="1"/>
    <col min="10242" max="10242" width="12.42578125" customWidth="1"/>
    <col min="10243" max="10245" width="0" hidden="1" customWidth="1"/>
    <col min="10246" max="10246" width="11.5703125" customWidth="1"/>
    <col min="10247" max="10247" width="11.85546875" customWidth="1"/>
    <col min="10248" max="10248" width="15.7109375" customWidth="1"/>
    <col min="10249" max="10249" width="1.5703125" customWidth="1"/>
    <col min="10250" max="10250" width="10.5703125" customWidth="1"/>
    <col min="10251" max="10251" width="20.7109375" customWidth="1"/>
    <col min="10252" max="10252" width="2" customWidth="1"/>
    <col min="10253" max="10253" width="10.140625" customWidth="1"/>
    <col min="10254" max="10254" width="13.7109375" customWidth="1"/>
    <col min="10255" max="10255" width="9.42578125" customWidth="1"/>
    <col min="10256" max="10256" width="10.7109375" bestFit="1" customWidth="1"/>
    <col min="10257" max="10257" width="16.5703125" customWidth="1"/>
    <col min="10258" max="10258" width="16" customWidth="1"/>
    <col min="10259" max="10468" width="9.42578125" customWidth="1"/>
    <col min="10469" max="10469" width="7.140625" customWidth="1"/>
    <col min="10470" max="10470" width="35.28515625" customWidth="1"/>
    <col min="10471" max="10471" width="6.7109375" customWidth="1"/>
    <col min="10472" max="10472" width="5.7109375" customWidth="1"/>
    <col min="10473" max="10473" width="5.85546875" customWidth="1"/>
    <col min="10474" max="10474" width="7.85546875" customWidth="1"/>
    <col min="10479" max="10479" width="7.140625" customWidth="1"/>
    <col min="10480" max="10480" width="39.42578125" customWidth="1"/>
    <col min="10481" max="10481" width="6.7109375" customWidth="1"/>
    <col min="10482" max="10482" width="5.7109375" customWidth="1"/>
    <col min="10483" max="10483" width="5.85546875" customWidth="1"/>
    <col min="10484" max="10484" width="7.85546875" customWidth="1"/>
    <col min="10485" max="10485" width="14.28515625" customWidth="1"/>
    <col min="10486" max="10486" width="14" customWidth="1"/>
    <col min="10487" max="10487" width="10.140625" customWidth="1"/>
    <col min="10488" max="10488" width="11" customWidth="1"/>
    <col min="10489" max="10489" width="13.5703125" customWidth="1"/>
    <col min="10490" max="10490" width="8.7109375" customWidth="1"/>
    <col min="10491" max="10491" width="10.28515625" customWidth="1"/>
    <col min="10492" max="10492" width="15.28515625" customWidth="1"/>
    <col min="10493" max="10494" width="10.140625" customWidth="1"/>
    <col min="10495" max="10495" width="13.42578125" customWidth="1"/>
    <col min="10496" max="10497" width="10.140625" customWidth="1"/>
    <col min="10498" max="10498" width="12.42578125" customWidth="1"/>
    <col min="10499" max="10501" width="0" hidden="1" customWidth="1"/>
    <col min="10502" max="10502" width="11.5703125" customWidth="1"/>
    <col min="10503" max="10503" width="11.85546875" customWidth="1"/>
    <col min="10504" max="10504" width="15.7109375" customWidth="1"/>
    <col min="10505" max="10505" width="1.5703125" customWidth="1"/>
    <col min="10506" max="10506" width="10.5703125" customWidth="1"/>
    <col min="10507" max="10507" width="20.7109375" customWidth="1"/>
    <col min="10508" max="10508" width="2" customWidth="1"/>
    <col min="10509" max="10509" width="10.140625" customWidth="1"/>
    <col min="10510" max="10510" width="13.7109375" customWidth="1"/>
    <col min="10511" max="10511" width="9.42578125" customWidth="1"/>
    <col min="10512" max="10512" width="10.7109375" bestFit="1" customWidth="1"/>
    <col min="10513" max="10513" width="16.5703125" customWidth="1"/>
    <col min="10514" max="10514" width="16" customWidth="1"/>
    <col min="10515" max="10724" width="9.42578125" customWidth="1"/>
    <col min="10725" max="10725" width="7.140625" customWidth="1"/>
    <col min="10726" max="10726" width="35.28515625" customWidth="1"/>
    <col min="10727" max="10727" width="6.7109375" customWidth="1"/>
    <col min="10728" max="10728" width="5.7109375" customWidth="1"/>
    <col min="10729" max="10729" width="5.85546875" customWidth="1"/>
    <col min="10730" max="10730" width="7.85546875" customWidth="1"/>
    <col min="10735" max="10735" width="7.140625" customWidth="1"/>
    <col min="10736" max="10736" width="39.42578125" customWidth="1"/>
    <col min="10737" max="10737" width="6.7109375" customWidth="1"/>
    <col min="10738" max="10738" width="5.7109375" customWidth="1"/>
    <col min="10739" max="10739" width="5.85546875" customWidth="1"/>
    <col min="10740" max="10740" width="7.85546875" customWidth="1"/>
    <col min="10741" max="10741" width="14.28515625" customWidth="1"/>
    <col min="10742" max="10742" width="14" customWidth="1"/>
    <col min="10743" max="10743" width="10.140625" customWidth="1"/>
    <col min="10744" max="10744" width="11" customWidth="1"/>
    <col min="10745" max="10745" width="13.5703125" customWidth="1"/>
    <col min="10746" max="10746" width="8.7109375" customWidth="1"/>
    <col min="10747" max="10747" width="10.28515625" customWidth="1"/>
    <col min="10748" max="10748" width="15.28515625" customWidth="1"/>
    <col min="10749" max="10750" width="10.140625" customWidth="1"/>
    <col min="10751" max="10751" width="13.42578125" customWidth="1"/>
    <col min="10752" max="10753" width="10.140625" customWidth="1"/>
    <col min="10754" max="10754" width="12.42578125" customWidth="1"/>
    <col min="10755" max="10757" width="0" hidden="1" customWidth="1"/>
    <col min="10758" max="10758" width="11.5703125" customWidth="1"/>
    <col min="10759" max="10759" width="11.85546875" customWidth="1"/>
    <col min="10760" max="10760" width="15.7109375" customWidth="1"/>
    <col min="10761" max="10761" width="1.5703125" customWidth="1"/>
    <col min="10762" max="10762" width="10.5703125" customWidth="1"/>
    <col min="10763" max="10763" width="20.7109375" customWidth="1"/>
    <col min="10764" max="10764" width="2" customWidth="1"/>
    <col min="10765" max="10765" width="10.140625" customWidth="1"/>
    <col min="10766" max="10766" width="13.7109375" customWidth="1"/>
    <col min="10767" max="10767" width="9.42578125" customWidth="1"/>
    <col min="10768" max="10768" width="10.7109375" bestFit="1" customWidth="1"/>
    <col min="10769" max="10769" width="16.5703125" customWidth="1"/>
    <col min="10770" max="10770" width="16" customWidth="1"/>
    <col min="10771" max="10980" width="9.42578125" customWidth="1"/>
    <col min="10981" max="10981" width="7.140625" customWidth="1"/>
    <col min="10982" max="10982" width="35.28515625" customWidth="1"/>
    <col min="10983" max="10983" width="6.7109375" customWidth="1"/>
    <col min="10984" max="10984" width="5.7109375" customWidth="1"/>
    <col min="10985" max="10985" width="5.85546875" customWidth="1"/>
    <col min="10986" max="10986" width="7.85546875" customWidth="1"/>
    <col min="10991" max="10991" width="7.140625" customWidth="1"/>
    <col min="10992" max="10992" width="39.42578125" customWidth="1"/>
    <col min="10993" max="10993" width="6.7109375" customWidth="1"/>
    <col min="10994" max="10994" width="5.7109375" customWidth="1"/>
    <col min="10995" max="10995" width="5.85546875" customWidth="1"/>
    <col min="10996" max="10996" width="7.85546875" customWidth="1"/>
    <col min="10997" max="10997" width="14.28515625" customWidth="1"/>
    <col min="10998" max="10998" width="14" customWidth="1"/>
    <col min="10999" max="10999" width="10.140625" customWidth="1"/>
    <col min="11000" max="11000" width="11" customWidth="1"/>
    <col min="11001" max="11001" width="13.5703125" customWidth="1"/>
    <col min="11002" max="11002" width="8.7109375" customWidth="1"/>
    <col min="11003" max="11003" width="10.28515625" customWidth="1"/>
    <col min="11004" max="11004" width="15.28515625" customWidth="1"/>
    <col min="11005" max="11006" width="10.140625" customWidth="1"/>
    <col min="11007" max="11007" width="13.42578125" customWidth="1"/>
    <col min="11008" max="11009" width="10.140625" customWidth="1"/>
    <col min="11010" max="11010" width="12.42578125" customWidth="1"/>
    <col min="11011" max="11013" width="0" hidden="1" customWidth="1"/>
    <col min="11014" max="11014" width="11.5703125" customWidth="1"/>
    <col min="11015" max="11015" width="11.85546875" customWidth="1"/>
    <col min="11016" max="11016" width="15.7109375" customWidth="1"/>
    <col min="11017" max="11017" width="1.5703125" customWidth="1"/>
    <col min="11018" max="11018" width="10.5703125" customWidth="1"/>
    <col min="11019" max="11019" width="20.7109375" customWidth="1"/>
    <col min="11020" max="11020" width="2" customWidth="1"/>
    <col min="11021" max="11021" width="10.140625" customWidth="1"/>
    <col min="11022" max="11022" width="13.7109375" customWidth="1"/>
    <col min="11023" max="11023" width="9.42578125" customWidth="1"/>
    <col min="11024" max="11024" width="10.7109375" bestFit="1" customWidth="1"/>
    <col min="11025" max="11025" width="16.5703125" customWidth="1"/>
    <col min="11026" max="11026" width="16" customWidth="1"/>
    <col min="11027" max="11236" width="9.42578125" customWidth="1"/>
    <col min="11237" max="11237" width="7.140625" customWidth="1"/>
    <col min="11238" max="11238" width="35.28515625" customWidth="1"/>
    <col min="11239" max="11239" width="6.7109375" customWidth="1"/>
    <col min="11240" max="11240" width="5.7109375" customWidth="1"/>
    <col min="11241" max="11241" width="5.85546875" customWidth="1"/>
    <col min="11242" max="11242" width="7.85546875" customWidth="1"/>
    <col min="11247" max="11247" width="7.140625" customWidth="1"/>
    <col min="11248" max="11248" width="39.42578125" customWidth="1"/>
    <col min="11249" max="11249" width="6.7109375" customWidth="1"/>
    <col min="11250" max="11250" width="5.7109375" customWidth="1"/>
    <col min="11251" max="11251" width="5.85546875" customWidth="1"/>
    <col min="11252" max="11252" width="7.85546875" customWidth="1"/>
    <col min="11253" max="11253" width="14.28515625" customWidth="1"/>
    <col min="11254" max="11254" width="14" customWidth="1"/>
    <col min="11255" max="11255" width="10.140625" customWidth="1"/>
    <col min="11256" max="11256" width="11" customWidth="1"/>
    <col min="11257" max="11257" width="13.5703125" customWidth="1"/>
    <col min="11258" max="11258" width="8.7109375" customWidth="1"/>
    <col min="11259" max="11259" width="10.28515625" customWidth="1"/>
    <col min="11260" max="11260" width="15.28515625" customWidth="1"/>
    <col min="11261" max="11262" width="10.140625" customWidth="1"/>
    <col min="11263" max="11263" width="13.42578125" customWidth="1"/>
    <col min="11264" max="11265" width="10.140625" customWidth="1"/>
    <col min="11266" max="11266" width="12.42578125" customWidth="1"/>
    <col min="11267" max="11269" width="0" hidden="1" customWidth="1"/>
    <col min="11270" max="11270" width="11.5703125" customWidth="1"/>
    <col min="11271" max="11271" width="11.85546875" customWidth="1"/>
    <col min="11272" max="11272" width="15.7109375" customWidth="1"/>
    <col min="11273" max="11273" width="1.5703125" customWidth="1"/>
    <col min="11274" max="11274" width="10.5703125" customWidth="1"/>
    <col min="11275" max="11275" width="20.7109375" customWidth="1"/>
    <col min="11276" max="11276" width="2" customWidth="1"/>
    <col min="11277" max="11277" width="10.140625" customWidth="1"/>
    <col min="11278" max="11278" width="13.7109375" customWidth="1"/>
    <col min="11279" max="11279" width="9.42578125" customWidth="1"/>
    <col min="11280" max="11280" width="10.7109375" bestFit="1" customWidth="1"/>
    <col min="11281" max="11281" width="16.5703125" customWidth="1"/>
    <col min="11282" max="11282" width="16" customWidth="1"/>
    <col min="11283" max="11492" width="9.42578125" customWidth="1"/>
    <col min="11493" max="11493" width="7.140625" customWidth="1"/>
    <col min="11494" max="11494" width="35.28515625" customWidth="1"/>
    <col min="11495" max="11495" width="6.7109375" customWidth="1"/>
    <col min="11496" max="11496" width="5.7109375" customWidth="1"/>
    <col min="11497" max="11497" width="5.85546875" customWidth="1"/>
    <col min="11498" max="11498" width="7.85546875" customWidth="1"/>
    <col min="11503" max="11503" width="7.140625" customWidth="1"/>
    <col min="11504" max="11504" width="39.42578125" customWidth="1"/>
    <col min="11505" max="11505" width="6.7109375" customWidth="1"/>
    <col min="11506" max="11506" width="5.7109375" customWidth="1"/>
    <col min="11507" max="11507" width="5.85546875" customWidth="1"/>
    <col min="11508" max="11508" width="7.85546875" customWidth="1"/>
    <col min="11509" max="11509" width="14.28515625" customWidth="1"/>
    <col min="11510" max="11510" width="14" customWidth="1"/>
    <col min="11511" max="11511" width="10.140625" customWidth="1"/>
    <col min="11512" max="11512" width="11" customWidth="1"/>
    <col min="11513" max="11513" width="13.5703125" customWidth="1"/>
    <col min="11514" max="11514" width="8.7109375" customWidth="1"/>
    <col min="11515" max="11515" width="10.28515625" customWidth="1"/>
    <col min="11516" max="11516" width="15.28515625" customWidth="1"/>
    <col min="11517" max="11518" width="10.140625" customWidth="1"/>
    <col min="11519" max="11519" width="13.42578125" customWidth="1"/>
    <col min="11520" max="11521" width="10.140625" customWidth="1"/>
    <col min="11522" max="11522" width="12.42578125" customWidth="1"/>
    <col min="11523" max="11525" width="0" hidden="1" customWidth="1"/>
    <col min="11526" max="11526" width="11.5703125" customWidth="1"/>
    <col min="11527" max="11527" width="11.85546875" customWidth="1"/>
    <col min="11528" max="11528" width="15.7109375" customWidth="1"/>
    <col min="11529" max="11529" width="1.5703125" customWidth="1"/>
    <col min="11530" max="11530" width="10.5703125" customWidth="1"/>
    <col min="11531" max="11531" width="20.7109375" customWidth="1"/>
    <col min="11532" max="11532" width="2" customWidth="1"/>
    <col min="11533" max="11533" width="10.140625" customWidth="1"/>
    <col min="11534" max="11534" width="13.7109375" customWidth="1"/>
    <col min="11535" max="11535" width="9.42578125" customWidth="1"/>
    <col min="11536" max="11536" width="10.7109375" bestFit="1" customWidth="1"/>
    <col min="11537" max="11537" width="16.5703125" customWidth="1"/>
    <col min="11538" max="11538" width="16" customWidth="1"/>
    <col min="11539" max="11748" width="9.42578125" customWidth="1"/>
    <col min="11749" max="11749" width="7.140625" customWidth="1"/>
    <col min="11750" max="11750" width="35.28515625" customWidth="1"/>
    <col min="11751" max="11751" width="6.7109375" customWidth="1"/>
    <col min="11752" max="11752" width="5.7109375" customWidth="1"/>
    <col min="11753" max="11753" width="5.85546875" customWidth="1"/>
    <col min="11754" max="11754" width="7.85546875" customWidth="1"/>
    <col min="11759" max="11759" width="7.140625" customWidth="1"/>
    <col min="11760" max="11760" width="39.42578125" customWidth="1"/>
    <col min="11761" max="11761" width="6.7109375" customWidth="1"/>
    <col min="11762" max="11762" width="5.7109375" customWidth="1"/>
    <col min="11763" max="11763" width="5.85546875" customWidth="1"/>
    <col min="11764" max="11764" width="7.85546875" customWidth="1"/>
    <col min="11765" max="11765" width="14.28515625" customWidth="1"/>
    <col min="11766" max="11766" width="14" customWidth="1"/>
    <col min="11767" max="11767" width="10.140625" customWidth="1"/>
    <col min="11768" max="11768" width="11" customWidth="1"/>
    <col min="11769" max="11769" width="13.5703125" customWidth="1"/>
    <col min="11770" max="11770" width="8.7109375" customWidth="1"/>
    <col min="11771" max="11771" width="10.28515625" customWidth="1"/>
    <col min="11772" max="11772" width="15.28515625" customWidth="1"/>
    <col min="11773" max="11774" width="10.140625" customWidth="1"/>
    <col min="11775" max="11775" width="13.42578125" customWidth="1"/>
    <col min="11776" max="11777" width="10.140625" customWidth="1"/>
    <col min="11778" max="11778" width="12.42578125" customWidth="1"/>
    <col min="11779" max="11781" width="0" hidden="1" customWidth="1"/>
    <col min="11782" max="11782" width="11.5703125" customWidth="1"/>
    <col min="11783" max="11783" width="11.85546875" customWidth="1"/>
    <col min="11784" max="11784" width="15.7109375" customWidth="1"/>
    <col min="11785" max="11785" width="1.5703125" customWidth="1"/>
    <col min="11786" max="11786" width="10.5703125" customWidth="1"/>
    <col min="11787" max="11787" width="20.7109375" customWidth="1"/>
    <col min="11788" max="11788" width="2" customWidth="1"/>
    <col min="11789" max="11789" width="10.140625" customWidth="1"/>
    <col min="11790" max="11790" width="13.7109375" customWidth="1"/>
    <col min="11791" max="11791" width="9.42578125" customWidth="1"/>
    <col min="11792" max="11792" width="10.7109375" bestFit="1" customWidth="1"/>
    <col min="11793" max="11793" width="16.5703125" customWidth="1"/>
    <col min="11794" max="11794" width="16" customWidth="1"/>
    <col min="11795" max="12004" width="9.42578125" customWidth="1"/>
    <col min="12005" max="12005" width="7.140625" customWidth="1"/>
    <col min="12006" max="12006" width="35.28515625" customWidth="1"/>
    <col min="12007" max="12007" width="6.7109375" customWidth="1"/>
    <col min="12008" max="12008" width="5.7109375" customWidth="1"/>
    <col min="12009" max="12009" width="5.85546875" customWidth="1"/>
    <col min="12010" max="12010" width="7.85546875" customWidth="1"/>
    <col min="12015" max="12015" width="7.140625" customWidth="1"/>
    <col min="12016" max="12016" width="39.42578125" customWidth="1"/>
    <col min="12017" max="12017" width="6.7109375" customWidth="1"/>
    <col min="12018" max="12018" width="5.7109375" customWidth="1"/>
    <col min="12019" max="12019" width="5.85546875" customWidth="1"/>
    <col min="12020" max="12020" width="7.85546875" customWidth="1"/>
    <col min="12021" max="12021" width="14.28515625" customWidth="1"/>
    <col min="12022" max="12022" width="14" customWidth="1"/>
    <col min="12023" max="12023" width="10.140625" customWidth="1"/>
    <col min="12024" max="12024" width="11" customWidth="1"/>
    <col min="12025" max="12025" width="13.5703125" customWidth="1"/>
    <col min="12026" max="12026" width="8.7109375" customWidth="1"/>
    <col min="12027" max="12027" width="10.28515625" customWidth="1"/>
    <col min="12028" max="12028" width="15.28515625" customWidth="1"/>
    <col min="12029" max="12030" width="10.140625" customWidth="1"/>
    <col min="12031" max="12031" width="13.42578125" customWidth="1"/>
    <col min="12032" max="12033" width="10.140625" customWidth="1"/>
    <col min="12034" max="12034" width="12.42578125" customWidth="1"/>
    <col min="12035" max="12037" width="0" hidden="1" customWidth="1"/>
    <col min="12038" max="12038" width="11.5703125" customWidth="1"/>
    <col min="12039" max="12039" width="11.85546875" customWidth="1"/>
    <col min="12040" max="12040" width="15.7109375" customWidth="1"/>
    <col min="12041" max="12041" width="1.5703125" customWidth="1"/>
    <col min="12042" max="12042" width="10.5703125" customWidth="1"/>
    <col min="12043" max="12043" width="20.7109375" customWidth="1"/>
    <col min="12044" max="12044" width="2" customWidth="1"/>
    <col min="12045" max="12045" width="10.140625" customWidth="1"/>
    <col min="12046" max="12046" width="13.7109375" customWidth="1"/>
    <col min="12047" max="12047" width="9.42578125" customWidth="1"/>
    <col min="12048" max="12048" width="10.7109375" bestFit="1" customWidth="1"/>
    <col min="12049" max="12049" width="16.5703125" customWidth="1"/>
    <col min="12050" max="12050" width="16" customWidth="1"/>
    <col min="12051" max="12260" width="9.42578125" customWidth="1"/>
    <col min="12261" max="12261" width="7.140625" customWidth="1"/>
    <col min="12262" max="12262" width="35.28515625" customWidth="1"/>
    <col min="12263" max="12263" width="6.7109375" customWidth="1"/>
    <col min="12264" max="12264" width="5.7109375" customWidth="1"/>
    <col min="12265" max="12265" width="5.85546875" customWidth="1"/>
    <col min="12266" max="12266" width="7.85546875" customWidth="1"/>
    <col min="12271" max="12271" width="7.140625" customWidth="1"/>
    <col min="12272" max="12272" width="39.42578125" customWidth="1"/>
    <col min="12273" max="12273" width="6.7109375" customWidth="1"/>
    <col min="12274" max="12274" width="5.7109375" customWidth="1"/>
    <col min="12275" max="12275" width="5.85546875" customWidth="1"/>
    <col min="12276" max="12276" width="7.85546875" customWidth="1"/>
    <col min="12277" max="12277" width="14.28515625" customWidth="1"/>
    <col min="12278" max="12278" width="14" customWidth="1"/>
    <col min="12279" max="12279" width="10.140625" customWidth="1"/>
    <col min="12280" max="12280" width="11" customWidth="1"/>
    <col min="12281" max="12281" width="13.5703125" customWidth="1"/>
    <col min="12282" max="12282" width="8.7109375" customWidth="1"/>
    <col min="12283" max="12283" width="10.28515625" customWidth="1"/>
    <col min="12284" max="12284" width="15.28515625" customWidth="1"/>
    <col min="12285" max="12286" width="10.140625" customWidth="1"/>
    <col min="12287" max="12287" width="13.42578125" customWidth="1"/>
    <col min="12288" max="12289" width="10.140625" customWidth="1"/>
    <col min="12290" max="12290" width="12.42578125" customWidth="1"/>
    <col min="12291" max="12293" width="0" hidden="1" customWidth="1"/>
    <col min="12294" max="12294" width="11.5703125" customWidth="1"/>
    <col min="12295" max="12295" width="11.85546875" customWidth="1"/>
    <col min="12296" max="12296" width="15.7109375" customWidth="1"/>
    <col min="12297" max="12297" width="1.5703125" customWidth="1"/>
    <col min="12298" max="12298" width="10.5703125" customWidth="1"/>
    <col min="12299" max="12299" width="20.7109375" customWidth="1"/>
    <col min="12300" max="12300" width="2" customWidth="1"/>
    <col min="12301" max="12301" width="10.140625" customWidth="1"/>
    <col min="12302" max="12302" width="13.7109375" customWidth="1"/>
    <col min="12303" max="12303" width="9.42578125" customWidth="1"/>
    <col min="12304" max="12304" width="10.7109375" bestFit="1" customWidth="1"/>
    <col min="12305" max="12305" width="16.5703125" customWidth="1"/>
    <col min="12306" max="12306" width="16" customWidth="1"/>
    <col min="12307" max="12516" width="9.42578125" customWidth="1"/>
    <col min="12517" max="12517" width="7.140625" customWidth="1"/>
    <col min="12518" max="12518" width="35.28515625" customWidth="1"/>
    <col min="12519" max="12519" width="6.7109375" customWidth="1"/>
    <col min="12520" max="12520" width="5.7109375" customWidth="1"/>
    <col min="12521" max="12521" width="5.85546875" customWidth="1"/>
    <col min="12522" max="12522" width="7.85546875" customWidth="1"/>
    <col min="12527" max="12527" width="7.140625" customWidth="1"/>
    <col min="12528" max="12528" width="39.42578125" customWidth="1"/>
    <col min="12529" max="12529" width="6.7109375" customWidth="1"/>
    <col min="12530" max="12530" width="5.7109375" customWidth="1"/>
    <col min="12531" max="12531" width="5.85546875" customWidth="1"/>
    <col min="12532" max="12532" width="7.85546875" customWidth="1"/>
    <col min="12533" max="12533" width="14.28515625" customWidth="1"/>
    <col min="12534" max="12534" width="14" customWidth="1"/>
    <col min="12535" max="12535" width="10.140625" customWidth="1"/>
    <col min="12536" max="12536" width="11" customWidth="1"/>
    <col min="12537" max="12537" width="13.5703125" customWidth="1"/>
    <col min="12538" max="12538" width="8.7109375" customWidth="1"/>
    <col min="12539" max="12539" width="10.28515625" customWidth="1"/>
    <col min="12540" max="12540" width="15.28515625" customWidth="1"/>
    <col min="12541" max="12542" width="10.140625" customWidth="1"/>
    <col min="12543" max="12543" width="13.42578125" customWidth="1"/>
    <col min="12544" max="12545" width="10.140625" customWidth="1"/>
    <col min="12546" max="12546" width="12.42578125" customWidth="1"/>
    <col min="12547" max="12549" width="0" hidden="1" customWidth="1"/>
    <col min="12550" max="12550" width="11.5703125" customWidth="1"/>
    <col min="12551" max="12551" width="11.85546875" customWidth="1"/>
    <col min="12552" max="12552" width="15.7109375" customWidth="1"/>
    <col min="12553" max="12553" width="1.5703125" customWidth="1"/>
    <col min="12554" max="12554" width="10.5703125" customWidth="1"/>
    <col min="12555" max="12555" width="20.7109375" customWidth="1"/>
    <col min="12556" max="12556" width="2" customWidth="1"/>
    <col min="12557" max="12557" width="10.140625" customWidth="1"/>
    <col min="12558" max="12558" width="13.7109375" customWidth="1"/>
    <col min="12559" max="12559" width="9.42578125" customWidth="1"/>
    <col min="12560" max="12560" width="10.7109375" bestFit="1" customWidth="1"/>
    <col min="12561" max="12561" width="16.5703125" customWidth="1"/>
    <col min="12562" max="12562" width="16" customWidth="1"/>
    <col min="12563" max="12772" width="9.42578125" customWidth="1"/>
    <col min="12773" max="12773" width="7.140625" customWidth="1"/>
    <col min="12774" max="12774" width="35.28515625" customWidth="1"/>
    <col min="12775" max="12775" width="6.7109375" customWidth="1"/>
    <col min="12776" max="12776" width="5.7109375" customWidth="1"/>
    <col min="12777" max="12777" width="5.85546875" customWidth="1"/>
    <col min="12778" max="12778" width="7.85546875" customWidth="1"/>
    <col min="12783" max="12783" width="7.140625" customWidth="1"/>
    <col min="12784" max="12784" width="39.42578125" customWidth="1"/>
    <col min="12785" max="12785" width="6.7109375" customWidth="1"/>
    <col min="12786" max="12786" width="5.7109375" customWidth="1"/>
    <col min="12787" max="12787" width="5.85546875" customWidth="1"/>
    <col min="12788" max="12788" width="7.85546875" customWidth="1"/>
    <col min="12789" max="12789" width="14.28515625" customWidth="1"/>
    <col min="12790" max="12790" width="14" customWidth="1"/>
    <col min="12791" max="12791" width="10.140625" customWidth="1"/>
    <col min="12792" max="12792" width="11" customWidth="1"/>
    <col min="12793" max="12793" width="13.5703125" customWidth="1"/>
    <col min="12794" max="12794" width="8.7109375" customWidth="1"/>
    <col min="12795" max="12795" width="10.28515625" customWidth="1"/>
    <col min="12796" max="12796" width="15.28515625" customWidth="1"/>
    <col min="12797" max="12798" width="10.140625" customWidth="1"/>
    <col min="12799" max="12799" width="13.42578125" customWidth="1"/>
    <col min="12800" max="12801" width="10.140625" customWidth="1"/>
    <col min="12802" max="12802" width="12.42578125" customWidth="1"/>
    <col min="12803" max="12805" width="0" hidden="1" customWidth="1"/>
    <col min="12806" max="12806" width="11.5703125" customWidth="1"/>
    <col min="12807" max="12807" width="11.85546875" customWidth="1"/>
    <col min="12808" max="12808" width="15.7109375" customWidth="1"/>
    <col min="12809" max="12809" width="1.5703125" customWidth="1"/>
    <col min="12810" max="12810" width="10.5703125" customWidth="1"/>
    <col min="12811" max="12811" width="20.7109375" customWidth="1"/>
    <col min="12812" max="12812" width="2" customWidth="1"/>
    <col min="12813" max="12813" width="10.140625" customWidth="1"/>
    <col min="12814" max="12814" width="13.7109375" customWidth="1"/>
    <col min="12815" max="12815" width="9.42578125" customWidth="1"/>
    <col min="12816" max="12816" width="10.7109375" bestFit="1" customWidth="1"/>
    <col min="12817" max="12817" width="16.5703125" customWidth="1"/>
    <col min="12818" max="12818" width="16" customWidth="1"/>
    <col min="12819" max="13028" width="9.42578125" customWidth="1"/>
    <col min="13029" max="13029" width="7.140625" customWidth="1"/>
    <col min="13030" max="13030" width="35.28515625" customWidth="1"/>
    <col min="13031" max="13031" width="6.7109375" customWidth="1"/>
    <col min="13032" max="13032" width="5.7109375" customWidth="1"/>
    <col min="13033" max="13033" width="5.85546875" customWidth="1"/>
    <col min="13034" max="13034" width="7.85546875" customWidth="1"/>
    <col min="13039" max="13039" width="7.140625" customWidth="1"/>
    <col min="13040" max="13040" width="39.42578125" customWidth="1"/>
    <col min="13041" max="13041" width="6.7109375" customWidth="1"/>
    <col min="13042" max="13042" width="5.7109375" customWidth="1"/>
    <col min="13043" max="13043" width="5.85546875" customWidth="1"/>
    <col min="13044" max="13044" width="7.85546875" customWidth="1"/>
    <col min="13045" max="13045" width="14.28515625" customWidth="1"/>
    <col min="13046" max="13046" width="14" customWidth="1"/>
    <col min="13047" max="13047" width="10.140625" customWidth="1"/>
    <col min="13048" max="13048" width="11" customWidth="1"/>
    <col min="13049" max="13049" width="13.5703125" customWidth="1"/>
    <col min="13050" max="13050" width="8.7109375" customWidth="1"/>
    <col min="13051" max="13051" width="10.28515625" customWidth="1"/>
    <col min="13052" max="13052" width="15.28515625" customWidth="1"/>
    <col min="13053" max="13054" width="10.140625" customWidth="1"/>
    <col min="13055" max="13055" width="13.42578125" customWidth="1"/>
    <col min="13056" max="13057" width="10.140625" customWidth="1"/>
    <col min="13058" max="13058" width="12.42578125" customWidth="1"/>
    <col min="13059" max="13061" width="0" hidden="1" customWidth="1"/>
    <col min="13062" max="13062" width="11.5703125" customWidth="1"/>
    <col min="13063" max="13063" width="11.85546875" customWidth="1"/>
    <col min="13064" max="13064" width="15.7109375" customWidth="1"/>
    <col min="13065" max="13065" width="1.5703125" customWidth="1"/>
    <col min="13066" max="13066" width="10.5703125" customWidth="1"/>
    <col min="13067" max="13067" width="20.7109375" customWidth="1"/>
    <col min="13068" max="13068" width="2" customWidth="1"/>
    <col min="13069" max="13069" width="10.140625" customWidth="1"/>
    <col min="13070" max="13070" width="13.7109375" customWidth="1"/>
    <col min="13071" max="13071" width="9.42578125" customWidth="1"/>
    <col min="13072" max="13072" width="10.7109375" bestFit="1" customWidth="1"/>
    <col min="13073" max="13073" width="16.5703125" customWidth="1"/>
    <col min="13074" max="13074" width="16" customWidth="1"/>
    <col min="13075" max="13284" width="9.42578125" customWidth="1"/>
    <col min="13285" max="13285" width="7.140625" customWidth="1"/>
    <col min="13286" max="13286" width="35.28515625" customWidth="1"/>
    <col min="13287" max="13287" width="6.7109375" customWidth="1"/>
    <col min="13288" max="13288" width="5.7109375" customWidth="1"/>
    <col min="13289" max="13289" width="5.85546875" customWidth="1"/>
    <col min="13290" max="13290" width="7.85546875" customWidth="1"/>
    <col min="13295" max="13295" width="7.140625" customWidth="1"/>
    <col min="13296" max="13296" width="39.42578125" customWidth="1"/>
    <col min="13297" max="13297" width="6.7109375" customWidth="1"/>
    <col min="13298" max="13298" width="5.7109375" customWidth="1"/>
    <col min="13299" max="13299" width="5.85546875" customWidth="1"/>
    <col min="13300" max="13300" width="7.85546875" customWidth="1"/>
    <col min="13301" max="13301" width="14.28515625" customWidth="1"/>
    <col min="13302" max="13302" width="14" customWidth="1"/>
    <col min="13303" max="13303" width="10.140625" customWidth="1"/>
    <col min="13304" max="13304" width="11" customWidth="1"/>
    <col min="13305" max="13305" width="13.5703125" customWidth="1"/>
    <col min="13306" max="13306" width="8.7109375" customWidth="1"/>
    <col min="13307" max="13307" width="10.28515625" customWidth="1"/>
    <col min="13308" max="13308" width="15.28515625" customWidth="1"/>
    <col min="13309" max="13310" width="10.140625" customWidth="1"/>
    <col min="13311" max="13311" width="13.42578125" customWidth="1"/>
    <col min="13312" max="13313" width="10.140625" customWidth="1"/>
    <col min="13314" max="13314" width="12.42578125" customWidth="1"/>
    <col min="13315" max="13317" width="0" hidden="1" customWidth="1"/>
    <col min="13318" max="13318" width="11.5703125" customWidth="1"/>
    <col min="13319" max="13319" width="11.85546875" customWidth="1"/>
    <col min="13320" max="13320" width="15.7109375" customWidth="1"/>
    <col min="13321" max="13321" width="1.5703125" customWidth="1"/>
    <col min="13322" max="13322" width="10.5703125" customWidth="1"/>
    <col min="13323" max="13323" width="20.7109375" customWidth="1"/>
    <col min="13324" max="13324" width="2" customWidth="1"/>
    <col min="13325" max="13325" width="10.140625" customWidth="1"/>
    <col min="13326" max="13326" width="13.7109375" customWidth="1"/>
    <col min="13327" max="13327" width="9.42578125" customWidth="1"/>
    <col min="13328" max="13328" width="10.7109375" bestFit="1" customWidth="1"/>
    <col min="13329" max="13329" width="16.5703125" customWidth="1"/>
    <col min="13330" max="13330" width="16" customWidth="1"/>
    <col min="13331" max="13540" width="9.42578125" customWidth="1"/>
    <col min="13541" max="13541" width="7.140625" customWidth="1"/>
    <col min="13542" max="13542" width="35.28515625" customWidth="1"/>
    <col min="13543" max="13543" width="6.7109375" customWidth="1"/>
    <col min="13544" max="13544" width="5.7109375" customWidth="1"/>
    <col min="13545" max="13545" width="5.85546875" customWidth="1"/>
    <col min="13546" max="13546" width="7.85546875" customWidth="1"/>
    <col min="13551" max="13551" width="7.140625" customWidth="1"/>
    <col min="13552" max="13552" width="39.42578125" customWidth="1"/>
    <col min="13553" max="13553" width="6.7109375" customWidth="1"/>
    <col min="13554" max="13554" width="5.7109375" customWidth="1"/>
    <col min="13555" max="13555" width="5.85546875" customWidth="1"/>
    <col min="13556" max="13556" width="7.85546875" customWidth="1"/>
    <col min="13557" max="13557" width="14.28515625" customWidth="1"/>
    <col min="13558" max="13558" width="14" customWidth="1"/>
    <col min="13559" max="13559" width="10.140625" customWidth="1"/>
    <col min="13560" max="13560" width="11" customWidth="1"/>
    <col min="13561" max="13561" width="13.5703125" customWidth="1"/>
    <col min="13562" max="13562" width="8.7109375" customWidth="1"/>
    <col min="13563" max="13563" width="10.28515625" customWidth="1"/>
    <col min="13564" max="13564" width="15.28515625" customWidth="1"/>
    <col min="13565" max="13566" width="10.140625" customWidth="1"/>
    <col min="13567" max="13567" width="13.42578125" customWidth="1"/>
    <col min="13568" max="13569" width="10.140625" customWidth="1"/>
    <col min="13570" max="13570" width="12.42578125" customWidth="1"/>
    <col min="13571" max="13573" width="0" hidden="1" customWidth="1"/>
    <col min="13574" max="13574" width="11.5703125" customWidth="1"/>
    <col min="13575" max="13575" width="11.85546875" customWidth="1"/>
    <col min="13576" max="13576" width="15.7109375" customWidth="1"/>
    <col min="13577" max="13577" width="1.5703125" customWidth="1"/>
    <col min="13578" max="13578" width="10.5703125" customWidth="1"/>
    <col min="13579" max="13579" width="20.7109375" customWidth="1"/>
    <col min="13580" max="13580" width="2" customWidth="1"/>
    <col min="13581" max="13581" width="10.140625" customWidth="1"/>
    <col min="13582" max="13582" width="13.7109375" customWidth="1"/>
    <col min="13583" max="13583" width="9.42578125" customWidth="1"/>
    <col min="13584" max="13584" width="10.7109375" bestFit="1" customWidth="1"/>
    <col min="13585" max="13585" width="16.5703125" customWidth="1"/>
    <col min="13586" max="13586" width="16" customWidth="1"/>
    <col min="13587" max="13796" width="9.42578125" customWidth="1"/>
    <col min="13797" max="13797" width="7.140625" customWidth="1"/>
    <col min="13798" max="13798" width="35.28515625" customWidth="1"/>
    <col min="13799" max="13799" width="6.7109375" customWidth="1"/>
    <col min="13800" max="13800" width="5.7109375" customWidth="1"/>
    <col min="13801" max="13801" width="5.85546875" customWidth="1"/>
    <col min="13802" max="13802" width="7.85546875" customWidth="1"/>
    <col min="13807" max="13807" width="7.140625" customWidth="1"/>
    <col min="13808" max="13808" width="39.42578125" customWidth="1"/>
    <col min="13809" max="13809" width="6.7109375" customWidth="1"/>
    <col min="13810" max="13810" width="5.7109375" customWidth="1"/>
    <col min="13811" max="13811" width="5.85546875" customWidth="1"/>
    <col min="13812" max="13812" width="7.85546875" customWidth="1"/>
    <col min="13813" max="13813" width="14.28515625" customWidth="1"/>
    <col min="13814" max="13814" width="14" customWidth="1"/>
    <col min="13815" max="13815" width="10.140625" customWidth="1"/>
    <col min="13816" max="13816" width="11" customWidth="1"/>
    <col min="13817" max="13817" width="13.5703125" customWidth="1"/>
    <col min="13818" max="13818" width="8.7109375" customWidth="1"/>
    <col min="13819" max="13819" width="10.28515625" customWidth="1"/>
    <col min="13820" max="13820" width="15.28515625" customWidth="1"/>
    <col min="13821" max="13822" width="10.140625" customWidth="1"/>
    <col min="13823" max="13823" width="13.42578125" customWidth="1"/>
    <col min="13824" max="13825" width="10.140625" customWidth="1"/>
    <col min="13826" max="13826" width="12.42578125" customWidth="1"/>
    <col min="13827" max="13829" width="0" hidden="1" customWidth="1"/>
    <col min="13830" max="13830" width="11.5703125" customWidth="1"/>
    <col min="13831" max="13831" width="11.85546875" customWidth="1"/>
    <col min="13832" max="13832" width="15.7109375" customWidth="1"/>
    <col min="13833" max="13833" width="1.5703125" customWidth="1"/>
    <col min="13834" max="13834" width="10.5703125" customWidth="1"/>
    <col min="13835" max="13835" width="20.7109375" customWidth="1"/>
    <col min="13836" max="13836" width="2" customWidth="1"/>
    <col min="13837" max="13837" width="10.140625" customWidth="1"/>
    <col min="13838" max="13838" width="13.7109375" customWidth="1"/>
    <col min="13839" max="13839" width="9.42578125" customWidth="1"/>
    <col min="13840" max="13840" width="10.7109375" bestFit="1" customWidth="1"/>
    <col min="13841" max="13841" width="16.5703125" customWidth="1"/>
    <col min="13842" max="13842" width="16" customWidth="1"/>
    <col min="13843" max="14052" width="9.42578125" customWidth="1"/>
    <col min="14053" max="14053" width="7.140625" customWidth="1"/>
    <col min="14054" max="14054" width="35.28515625" customWidth="1"/>
    <col min="14055" max="14055" width="6.7109375" customWidth="1"/>
    <col min="14056" max="14056" width="5.7109375" customWidth="1"/>
    <col min="14057" max="14057" width="5.85546875" customWidth="1"/>
    <col min="14058" max="14058" width="7.85546875" customWidth="1"/>
    <col min="14063" max="14063" width="7.140625" customWidth="1"/>
    <col min="14064" max="14064" width="39.42578125" customWidth="1"/>
    <col min="14065" max="14065" width="6.7109375" customWidth="1"/>
    <col min="14066" max="14066" width="5.7109375" customWidth="1"/>
    <col min="14067" max="14067" width="5.85546875" customWidth="1"/>
    <col min="14068" max="14068" width="7.85546875" customWidth="1"/>
    <col min="14069" max="14069" width="14.28515625" customWidth="1"/>
    <col min="14070" max="14070" width="14" customWidth="1"/>
    <col min="14071" max="14071" width="10.140625" customWidth="1"/>
    <col min="14072" max="14072" width="11" customWidth="1"/>
    <col min="14073" max="14073" width="13.5703125" customWidth="1"/>
    <col min="14074" max="14074" width="8.7109375" customWidth="1"/>
    <col min="14075" max="14075" width="10.28515625" customWidth="1"/>
    <col min="14076" max="14076" width="15.28515625" customWidth="1"/>
    <col min="14077" max="14078" width="10.140625" customWidth="1"/>
    <col min="14079" max="14079" width="13.42578125" customWidth="1"/>
    <col min="14080" max="14081" width="10.140625" customWidth="1"/>
    <col min="14082" max="14082" width="12.42578125" customWidth="1"/>
    <col min="14083" max="14085" width="0" hidden="1" customWidth="1"/>
    <col min="14086" max="14086" width="11.5703125" customWidth="1"/>
    <col min="14087" max="14087" width="11.85546875" customWidth="1"/>
    <col min="14088" max="14088" width="15.7109375" customWidth="1"/>
    <col min="14089" max="14089" width="1.5703125" customWidth="1"/>
    <col min="14090" max="14090" width="10.5703125" customWidth="1"/>
    <col min="14091" max="14091" width="20.7109375" customWidth="1"/>
    <col min="14092" max="14092" width="2" customWidth="1"/>
    <col min="14093" max="14093" width="10.140625" customWidth="1"/>
    <col min="14094" max="14094" width="13.7109375" customWidth="1"/>
    <col min="14095" max="14095" width="9.42578125" customWidth="1"/>
    <col min="14096" max="14096" width="10.7109375" bestFit="1" customWidth="1"/>
    <col min="14097" max="14097" width="16.5703125" customWidth="1"/>
    <col min="14098" max="14098" width="16" customWidth="1"/>
    <col min="14099" max="14308" width="9.42578125" customWidth="1"/>
    <col min="14309" max="14309" width="7.140625" customWidth="1"/>
    <col min="14310" max="14310" width="35.28515625" customWidth="1"/>
    <col min="14311" max="14311" width="6.7109375" customWidth="1"/>
    <col min="14312" max="14312" width="5.7109375" customWidth="1"/>
    <col min="14313" max="14313" width="5.85546875" customWidth="1"/>
    <col min="14314" max="14314" width="7.85546875" customWidth="1"/>
    <col min="14319" max="14319" width="7.140625" customWidth="1"/>
    <col min="14320" max="14320" width="39.42578125" customWidth="1"/>
    <col min="14321" max="14321" width="6.7109375" customWidth="1"/>
    <col min="14322" max="14322" width="5.7109375" customWidth="1"/>
    <col min="14323" max="14323" width="5.85546875" customWidth="1"/>
    <col min="14324" max="14324" width="7.85546875" customWidth="1"/>
    <col min="14325" max="14325" width="14.28515625" customWidth="1"/>
    <col min="14326" max="14326" width="14" customWidth="1"/>
    <col min="14327" max="14327" width="10.140625" customWidth="1"/>
    <col min="14328" max="14328" width="11" customWidth="1"/>
    <col min="14329" max="14329" width="13.5703125" customWidth="1"/>
    <col min="14330" max="14330" width="8.7109375" customWidth="1"/>
    <col min="14331" max="14331" width="10.28515625" customWidth="1"/>
    <col min="14332" max="14332" width="15.28515625" customWidth="1"/>
    <col min="14333" max="14334" width="10.140625" customWidth="1"/>
    <col min="14335" max="14335" width="13.42578125" customWidth="1"/>
    <col min="14336" max="14337" width="10.140625" customWidth="1"/>
    <col min="14338" max="14338" width="12.42578125" customWidth="1"/>
    <col min="14339" max="14341" width="0" hidden="1" customWidth="1"/>
    <col min="14342" max="14342" width="11.5703125" customWidth="1"/>
    <col min="14343" max="14343" width="11.85546875" customWidth="1"/>
    <col min="14344" max="14344" width="15.7109375" customWidth="1"/>
    <col min="14345" max="14345" width="1.5703125" customWidth="1"/>
    <col min="14346" max="14346" width="10.5703125" customWidth="1"/>
    <col min="14347" max="14347" width="20.7109375" customWidth="1"/>
    <col min="14348" max="14348" width="2" customWidth="1"/>
    <col min="14349" max="14349" width="10.140625" customWidth="1"/>
    <col min="14350" max="14350" width="13.7109375" customWidth="1"/>
    <col min="14351" max="14351" width="9.42578125" customWidth="1"/>
    <col min="14352" max="14352" width="10.7109375" bestFit="1" customWidth="1"/>
    <col min="14353" max="14353" width="16.5703125" customWidth="1"/>
    <col min="14354" max="14354" width="16" customWidth="1"/>
    <col min="14355" max="14564" width="9.42578125" customWidth="1"/>
    <col min="14565" max="14565" width="7.140625" customWidth="1"/>
    <col min="14566" max="14566" width="35.28515625" customWidth="1"/>
    <col min="14567" max="14567" width="6.7109375" customWidth="1"/>
    <col min="14568" max="14568" width="5.7109375" customWidth="1"/>
    <col min="14569" max="14569" width="5.85546875" customWidth="1"/>
    <col min="14570" max="14570" width="7.85546875" customWidth="1"/>
    <col min="14575" max="14575" width="7.140625" customWidth="1"/>
    <col min="14576" max="14576" width="39.42578125" customWidth="1"/>
    <col min="14577" max="14577" width="6.7109375" customWidth="1"/>
    <col min="14578" max="14578" width="5.7109375" customWidth="1"/>
    <col min="14579" max="14579" width="5.85546875" customWidth="1"/>
    <col min="14580" max="14580" width="7.85546875" customWidth="1"/>
    <col min="14581" max="14581" width="14.28515625" customWidth="1"/>
    <col min="14582" max="14582" width="14" customWidth="1"/>
    <col min="14583" max="14583" width="10.140625" customWidth="1"/>
    <col min="14584" max="14584" width="11" customWidth="1"/>
    <col min="14585" max="14585" width="13.5703125" customWidth="1"/>
    <col min="14586" max="14586" width="8.7109375" customWidth="1"/>
    <col min="14587" max="14587" width="10.28515625" customWidth="1"/>
    <col min="14588" max="14588" width="15.28515625" customWidth="1"/>
    <col min="14589" max="14590" width="10.140625" customWidth="1"/>
    <col min="14591" max="14591" width="13.42578125" customWidth="1"/>
    <col min="14592" max="14593" width="10.140625" customWidth="1"/>
    <col min="14594" max="14594" width="12.42578125" customWidth="1"/>
    <col min="14595" max="14597" width="0" hidden="1" customWidth="1"/>
    <col min="14598" max="14598" width="11.5703125" customWidth="1"/>
    <col min="14599" max="14599" width="11.85546875" customWidth="1"/>
    <col min="14600" max="14600" width="15.7109375" customWidth="1"/>
    <col min="14601" max="14601" width="1.5703125" customWidth="1"/>
    <col min="14602" max="14602" width="10.5703125" customWidth="1"/>
    <col min="14603" max="14603" width="20.7109375" customWidth="1"/>
    <col min="14604" max="14604" width="2" customWidth="1"/>
    <col min="14605" max="14605" width="10.140625" customWidth="1"/>
    <col min="14606" max="14606" width="13.7109375" customWidth="1"/>
    <col min="14607" max="14607" width="9.42578125" customWidth="1"/>
    <col min="14608" max="14608" width="10.7109375" bestFit="1" customWidth="1"/>
    <col min="14609" max="14609" width="16.5703125" customWidth="1"/>
    <col min="14610" max="14610" width="16" customWidth="1"/>
    <col min="14611" max="14820" width="9.42578125" customWidth="1"/>
    <col min="14821" max="14821" width="7.140625" customWidth="1"/>
    <col min="14822" max="14822" width="35.28515625" customWidth="1"/>
    <col min="14823" max="14823" width="6.7109375" customWidth="1"/>
    <col min="14824" max="14824" width="5.7109375" customWidth="1"/>
    <col min="14825" max="14825" width="5.85546875" customWidth="1"/>
    <col min="14826" max="14826" width="7.85546875" customWidth="1"/>
    <col min="14831" max="14831" width="7.140625" customWidth="1"/>
    <col min="14832" max="14832" width="39.42578125" customWidth="1"/>
    <col min="14833" max="14833" width="6.7109375" customWidth="1"/>
    <col min="14834" max="14834" width="5.7109375" customWidth="1"/>
    <col min="14835" max="14835" width="5.85546875" customWidth="1"/>
    <col min="14836" max="14836" width="7.85546875" customWidth="1"/>
    <col min="14837" max="14837" width="14.28515625" customWidth="1"/>
    <col min="14838" max="14838" width="14" customWidth="1"/>
    <col min="14839" max="14839" width="10.140625" customWidth="1"/>
    <col min="14840" max="14840" width="11" customWidth="1"/>
    <col min="14841" max="14841" width="13.5703125" customWidth="1"/>
    <col min="14842" max="14842" width="8.7109375" customWidth="1"/>
    <col min="14843" max="14843" width="10.28515625" customWidth="1"/>
    <col min="14844" max="14844" width="15.28515625" customWidth="1"/>
    <col min="14845" max="14846" width="10.140625" customWidth="1"/>
    <col min="14847" max="14847" width="13.42578125" customWidth="1"/>
    <col min="14848" max="14849" width="10.140625" customWidth="1"/>
    <col min="14850" max="14850" width="12.42578125" customWidth="1"/>
    <col min="14851" max="14853" width="0" hidden="1" customWidth="1"/>
    <col min="14854" max="14854" width="11.5703125" customWidth="1"/>
    <col min="14855" max="14855" width="11.85546875" customWidth="1"/>
    <col min="14856" max="14856" width="15.7109375" customWidth="1"/>
    <col min="14857" max="14857" width="1.5703125" customWidth="1"/>
    <col min="14858" max="14858" width="10.5703125" customWidth="1"/>
    <col min="14859" max="14859" width="20.7109375" customWidth="1"/>
    <col min="14860" max="14860" width="2" customWidth="1"/>
    <col min="14861" max="14861" width="10.140625" customWidth="1"/>
    <col min="14862" max="14862" width="13.7109375" customWidth="1"/>
    <col min="14863" max="14863" width="9.42578125" customWidth="1"/>
    <col min="14864" max="14864" width="10.7109375" bestFit="1" customWidth="1"/>
    <col min="14865" max="14865" width="16.5703125" customWidth="1"/>
    <col min="14866" max="14866" width="16" customWidth="1"/>
    <col min="14867" max="15076" width="9.42578125" customWidth="1"/>
    <col min="15077" max="15077" width="7.140625" customWidth="1"/>
    <col min="15078" max="15078" width="35.28515625" customWidth="1"/>
    <col min="15079" max="15079" width="6.7109375" customWidth="1"/>
    <col min="15080" max="15080" width="5.7109375" customWidth="1"/>
    <col min="15081" max="15081" width="5.85546875" customWidth="1"/>
    <col min="15082" max="15082" width="7.85546875" customWidth="1"/>
    <col min="15087" max="15087" width="7.140625" customWidth="1"/>
    <col min="15088" max="15088" width="39.42578125" customWidth="1"/>
    <col min="15089" max="15089" width="6.7109375" customWidth="1"/>
    <col min="15090" max="15090" width="5.7109375" customWidth="1"/>
    <col min="15091" max="15091" width="5.85546875" customWidth="1"/>
    <col min="15092" max="15092" width="7.85546875" customWidth="1"/>
    <col min="15093" max="15093" width="14.28515625" customWidth="1"/>
    <col min="15094" max="15094" width="14" customWidth="1"/>
    <col min="15095" max="15095" width="10.140625" customWidth="1"/>
    <col min="15096" max="15096" width="11" customWidth="1"/>
    <col min="15097" max="15097" width="13.5703125" customWidth="1"/>
    <col min="15098" max="15098" width="8.7109375" customWidth="1"/>
    <col min="15099" max="15099" width="10.28515625" customWidth="1"/>
    <col min="15100" max="15100" width="15.28515625" customWidth="1"/>
    <col min="15101" max="15102" width="10.140625" customWidth="1"/>
    <col min="15103" max="15103" width="13.42578125" customWidth="1"/>
    <col min="15104" max="15105" width="10.140625" customWidth="1"/>
    <col min="15106" max="15106" width="12.42578125" customWidth="1"/>
    <col min="15107" max="15109" width="0" hidden="1" customWidth="1"/>
    <col min="15110" max="15110" width="11.5703125" customWidth="1"/>
    <col min="15111" max="15111" width="11.85546875" customWidth="1"/>
    <col min="15112" max="15112" width="15.7109375" customWidth="1"/>
    <col min="15113" max="15113" width="1.5703125" customWidth="1"/>
    <col min="15114" max="15114" width="10.5703125" customWidth="1"/>
    <col min="15115" max="15115" width="20.7109375" customWidth="1"/>
    <col min="15116" max="15116" width="2" customWidth="1"/>
    <col min="15117" max="15117" width="10.140625" customWidth="1"/>
    <col min="15118" max="15118" width="13.7109375" customWidth="1"/>
    <col min="15119" max="15119" width="9.42578125" customWidth="1"/>
    <col min="15120" max="15120" width="10.7109375" bestFit="1" customWidth="1"/>
    <col min="15121" max="15121" width="16.5703125" customWidth="1"/>
    <col min="15122" max="15122" width="16" customWidth="1"/>
    <col min="15123" max="15332" width="9.42578125" customWidth="1"/>
    <col min="15333" max="15333" width="7.140625" customWidth="1"/>
    <col min="15334" max="15334" width="35.28515625" customWidth="1"/>
    <col min="15335" max="15335" width="6.7109375" customWidth="1"/>
    <col min="15336" max="15336" width="5.7109375" customWidth="1"/>
    <col min="15337" max="15337" width="5.85546875" customWidth="1"/>
    <col min="15338" max="15338" width="7.85546875" customWidth="1"/>
    <col min="15343" max="15343" width="7.140625" customWidth="1"/>
    <col min="15344" max="15344" width="39.42578125" customWidth="1"/>
    <col min="15345" max="15345" width="6.7109375" customWidth="1"/>
    <col min="15346" max="15346" width="5.7109375" customWidth="1"/>
    <col min="15347" max="15347" width="5.85546875" customWidth="1"/>
    <col min="15348" max="15348" width="7.85546875" customWidth="1"/>
    <col min="15349" max="15349" width="14.28515625" customWidth="1"/>
    <col min="15350" max="15350" width="14" customWidth="1"/>
    <col min="15351" max="15351" width="10.140625" customWidth="1"/>
    <col min="15352" max="15352" width="11" customWidth="1"/>
    <col min="15353" max="15353" width="13.5703125" customWidth="1"/>
    <col min="15354" max="15354" width="8.7109375" customWidth="1"/>
    <col min="15355" max="15355" width="10.28515625" customWidth="1"/>
    <col min="15356" max="15356" width="15.28515625" customWidth="1"/>
    <col min="15357" max="15358" width="10.140625" customWidth="1"/>
    <col min="15359" max="15359" width="13.42578125" customWidth="1"/>
    <col min="15360" max="15361" width="10.140625" customWidth="1"/>
    <col min="15362" max="15362" width="12.42578125" customWidth="1"/>
    <col min="15363" max="15365" width="0" hidden="1" customWidth="1"/>
    <col min="15366" max="15366" width="11.5703125" customWidth="1"/>
    <col min="15367" max="15367" width="11.85546875" customWidth="1"/>
    <col min="15368" max="15368" width="15.7109375" customWidth="1"/>
    <col min="15369" max="15369" width="1.5703125" customWidth="1"/>
    <col min="15370" max="15370" width="10.5703125" customWidth="1"/>
    <col min="15371" max="15371" width="20.7109375" customWidth="1"/>
    <col min="15372" max="15372" width="2" customWidth="1"/>
    <col min="15373" max="15373" width="10.140625" customWidth="1"/>
    <col min="15374" max="15374" width="13.7109375" customWidth="1"/>
    <col min="15375" max="15375" width="9.42578125" customWidth="1"/>
    <col min="15376" max="15376" width="10.7109375" bestFit="1" customWidth="1"/>
    <col min="15377" max="15377" width="16.5703125" customWidth="1"/>
    <col min="15378" max="15378" width="16" customWidth="1"/>
    <col min="15379" max="15588" width="9.42578125" customWidth="1"/>
    <col min="15589" max="15589" width="7.140625" customWidth="1"/>
    <col min="15590" max="15590" width="35.28515625" customWidth="1"/>
    <col min="15591" max="15591" width="6.7109375" customWidth="1"/>
    <col min="15592" max="15592" width="5.7109375" customWidth="1"/>
    <col min="15593" max="15593" width="5.85546875" customWidth="1"/>
    <col min="15594" max="15594" width="7.85546875" customWidth="1"/>
    <col min="15599" max="15599" width="7.140625" customWidth="1"/>
    <col min="15600" max="15600" width="39.42578125" customWidth="1"/>
    <col min="15601" max="15601" width="6.7109375" customWidth="1"/>
    <col min="15602" max="15602" width="5.7109375" customWidth="1"/>
    <col min="15603" max="15603" width="5.85546875" customWidth="1"/>
    <col min="15604" max="15604" width="7.85546875" customWidth="1"/>
    <col min="15605" max="15605" width="14.28515625" customWidth="1"/>
    <col min="15606" max="15606" width="14" customWidth="1"/>
    <col min="15607" max="15607" width="10.140625" customWidth="1"/>
    <col min="15608" max="15608" width="11" customWidth="1"/>
    <col min="15609" max="15609" width="13.5703125" customWidth="1"/>
    <col min="15610" max="15610" width="8.7109375" customWidth="1"/>
    <col min="15611" max="15611" width="10.28515625" customWidth="1"/>
    <col min="15612" max="15612" width="15.28515625" customWidth="1"/>
    <col min="15613" max="15614" width="10.140625" customWidth="1"/>
    <col min="15615" max="15615" width="13.42578125" customWidth="1"/>
    <col min="15616" max="15617" width="10.140625" customWidth="1"/>
    <col min="15618" max="15618" width="12.42578125" customWidth="1"/>
    <col min="15619" max="15621" width="0" hidden="1" customWidth="1"/>
    <col min="15622" max="15622" width="11.5703125" customWidth="1"/>
    <col min="15623" max="15623" width="11.85546875" customWidth="1"/>
    <col min="15624" max="15624" width="15.7109375" customWidth="1"/>
    <col min="15625" max="15625" width="1.5703125" customWidth="1"/>
    <col min="15626" max="15626" width="10.5703125" customWidth="1"/>
    <col min="15627" max="15627" width="20.7109375" customWidth="1"/>
    <col min="15628" max="15628" width="2" customWidth="1"/>
    <col min="15629" max="15629" width="10.140625" customWidth="1"/>
    <col min="15630" max="15630" width="13.7109375" customWidth="1"/>
    <col min="15631" max="15631" width="9.42578125" customWidth="1"/>
    <col min="15632" max="15632" width="10.7109375" bestFit="1" customWidth="1"/>
    <col min="15633" max="15633" width="16.5703125" customWidth="1"/>
    <col min="15634" max="15634" width="16" customWidth="1"/>
    <col min="15635" max="15844" width="9.42578125" customWidth="1"/>
    <col min="15845" max="15845" width="7.140625" customWidth="1"/>
    <col min="15846" max="15846" width="35.28515625" customWidth="1"/>
    <col min="15847" max="15847" width="6.7109375" customWidth="1"/>
    <col min="15848" max="15848" width="5.7109375" customWidth="1"/>
    <col min="15849" max="15849" width="5.85546875" customWidth="1"/>
    <col min="15850" max="15850" width="7.85546875" customWidth="1"/>
    <col min="15855" max="15855" width="7.140625" customWidth="1"/>
    <col min="15856" max="15856" width="39.42578125" customWidth="1"/>
    <col min="15857" max="15857" width="6.7109375" customWidth="1"/>
    <col min="15858" max="15858" width="5.7109375" customWidth="1"/>
    <col min="15859" max="15859" width="5.85546875" customWidth="1"/>
    <col min="15860" max="15860" width="7.85546875" customWidth="1"/>
    <col min="15861" max="15861" width="14.28515625" customWidth="1"/>
    <col min="15862" max="15862" width="14" customWidth="1"/>
    <col min="15863" max="15863" width="10.140625" customWidth="1"/>
    <col min="15864" max="15864" width="11" customWidth="1"/>
    <col min="15865" max="15865" width="13.5703125" customWidth="1"/>
    <col min="15866" max="15866" width="8.7109375" customWidth="1"/>
    <col min="15867" max="15867" width="10.28515625" customWidth="1"/>
    <col min="15868" max="15868" width="15.28515625" customWidth="1"/>
    <col min="15869" max="15870" width="10.140625" customWidth="1"/>
    <col min="15871" max="15871" width="13.42578125" customWidth="1"/>
    <col min="15872" max="15873" width="10.140625" customWidth="1"/>
    <col min="15874" max="15874" width="12.42578125" customWidth="1"/>
    <col min="15875" max="15877" width="0" hidden="1" customWidth="1"/>
    <col min="15878" max="15878" width="11.5703125" customWidth="1"/>
    <col min="15879" max="15879" width="11.85546875" customWidth="1"/>
    <col min="15880" max="15880" width="15.7109375" customWidth="1"/>
    <col min="15881" max="15881" width="1.5703125" customWidth="1"/>
    <col min="15882" max="15882" width="10.5703125" customWidth="1"/>
    <col min="15883" max="15883" width="20.7109375" customWidth="1"/>
    <col min="15884" max="15884" width="2" customWidth="1"/>
    <col min="15885" max="15885" width="10.140625" customWidth="1"/>
    <col min="15886" max="15886" width="13.7109375" customWidth="1"/>
    <col min="15887" max="15887" width="9.42578125" customWidth="1"/>
    <col min="15888" max="15888" width="10.7109375" bestFit="1" customWidth="1"/>
    <col min="15889" max="15889" width="16.5703125" customWidth="1"/>
    <col min="15890" max="15890" width="16" customWidth="1"/>
    <col min="15891" max="16100" width="9.42578125" customWidth="1"/>
    <col min="16101" max="16101" width="7.140625" customWidth="1"/>
    <col min="16102" max="16102" width="35.28515625" customWidth="1"/>
    <col min="16103" max="16103" width="6.7109375" customWidth="1"/>
    <col min="16104" max="16104" width="5.7109375" customWidth="1"/>
    <col min="16105" max="16105" width="5.85546875" customWidth="1"/>
    <col min="16106" max="16106" width="7.85546875" customWidth="1"/>
    <col min="16111" max="16111" width="7.140625" customWidth="1"/>
    <col min="16112" max="16112" width="39.42578125" customWidth="1"/>
    <col min="16113" max="16113" width="6.7109375" customWidth="1"/>
    <col min="16114" max="16114" width="5.7109375" customWidth="1"/>
    <col min="16115" max="16115" width="5.85546875" customWidth="1"/>
    <col min="16116" max="16116" width="7.85546875" customWidth="1"/>
    <col min="16117" max="16117" width="14.28515625" customWidth="1"/>
    <col min="16118" max="16118" width="14" customWidth="1"/>
    <col min="16119" max="16119" width="10.140625" customWidth="1"/>
    <col min="16120" max="16120" width="11" customWidth="1"/>
    <col min="16121" max="16121" width="13.5703125" customWidth="1"/>
    <col min="16122" max="16122" width="8.7109375" customWidth="1"/>
    <col min="16123" max="16123" width="10.28515625" customWidth="1"/>
    <col min="16124" max="16124" width="15.28515625" customWidth="1"/>
    <col min="16125" max="16126" width="10.140625" customWidth="1"/>
    <col min="16127" max="16127" width="13.42578125" customWidth="1"/>
    <col min="16128" max="16129" width="10.140625" customWidth="1"/>
    <col min="16130" max="16130" width="12.42578125" customWidth="1"/>
    <col min="16131" max="16133" width="0" hidden="1" customWidth="1"/>
    <col min="16134" max="16134" width="11.5703125" customWidth="1"/>
    <col min="16135" max="16135" width="11.85546875" customWidth="1"/>
    <col min="16136" max="16136" width="15.7109375" customWidth="1"/>
    <col min="16137" max="16137" width="1.5703125" customWidth="1"/>
    <col min="16138" max="16138" width="10.5703125" customWidth="1"/>
    <col min="16139" max="16139" width="20.7109375" customWidth="1"/>
    <col min="16140" max="16140" width="2" customWidth="1"/>
    <col min="16141" max="16141" width="10.140625" customWidth="1"/>
    <col min="16142" max="16142" width="13.7109375" customWidth="1"/>
    <col min="16143" max="16143" width="9.42578125" customWidth="1"/>
    <col min="16144" max="16144" width="10.7109375" bestFit="1" customWidth="1"/>
    <col min="16145" max="16145" width="16.5703125" customWidth="1"/>
    <col min="16146" max="16146" width="16" customWidth="1"/>
    <col min="16147" max="16356" width="9.42578125" customWidth="1"/>
    <col min="16357" max="16357" width="7.140625" customWidth="1"/>
    <col min="16358" max="16358" width="35.28515625" customWidth="1"/>
    <col min="16359" max="16359" width="6.7109375" customWidth="1"/>
    <col min="16360" max="16360" width="5.7109375" customWidth="1"/>
    <col min="16361" max="16361" width="5.85546875" customWidth="1"/>
    <col min="16362" max="16362" width="7.85546875" customWidth="1"/>
  </cols>
  <sheetData>
    <row r="2" spans="1:18" ht="15.75" x14ac:dyDescent="0.25">
      <c r="A2" s="1" t="s">
        <v>100</v>
      </c>
      <c r="B2" s="1"/>
      <c r="C2" s="2"/>
      <c r="D2" s="2"/>
      <c r="E2" s="2"/>
    </row>
    <row r="3" spans="1:18" ht="15.75" x14ac:dyDescent="0.25">
      <c r="A3" s="5" t="s">
        <v>101</v>
      </c>
      <c r="B3" s="5"/>
      <c r="C3" s="5"/>
      <c r="D3" s="2"/>
      <c r="E3" s="2"/>
      <c r="J3" s="7"/>
      <c r="K3" s="7"/>
    </row>
    <row r="4" spans="1:18" ht="15.75" thickBot="1" x14ac:dyDescent="0.3">
      <c r="J4" s="7"/>
      <c r="K4" s="7"/>
    </row>
    <row r="5" spans="1:18" ht="19.5" thickBot="1" x14ac:dyDescent="0.3">
      <c r="A5" s="8" t="s">
        <v>0</v>
      </c>
      <c r="B5" s="8" t="s">
        <v>1</v>
      </c>
      <c r="C5" s="328" t="s">
        <v>2</v>
      </c>
      <c r="D5" s="328"/>
      <c r="E5" s="328"/>
      <c r="F5" s="328" t="s">
        <v>102</v>
      </c>
      <c r="G5" s="328"/>
      <c r="H5" s="328"/>
      <c r="I5" s="9"/>
      <c r="J5" s="334" t="s">
        <v>4</v>
      </c>
      <c r="K5" s="334"/>
      <c r="L5" s="9"/>
      <c r="M5" s="329" t="s">
        <v>5</v>
      </c>
      <c r="N5" s="329"/>
    </row>
    <row r="6" spans="1:18" ht="30.75" thickBot="1" x14ac:dyDescent="0.3">
      <c r="A6" s="10"/>
      <c r="B6" s="10"/>
      <c r="C6" s="11" t="s">
        <v>6</v>
      </c>
      <c r="D6" s="12" t="s">
        <v>7</v>
      </c>
      <c r="E6" s="249" t="s">
        <v>8</v>
      </c>
      <c r="F6" s="13" t="s">
        <v>9</v>
      </c>
      <c r="G6" s="14" t="s">
        <v>10</v>
      </c>
      <c r="H6" s="15" t="s">
        <v>11</v>
      </c>
      <c r="I6" s="18"/>
      <c r="J6" s="19" t="s">
        <v>10</v>
      </c>
      <c r="K6" s="15" t="s">
        <v>11</v>
      </c>
      <c r="L6" s="20"/>
      <c r="M6" s="21" t="s">
        <v>12</v>
      </c>
      <c r="N6" s="15" t="s">
        <v>13</v>
      </c>
    </row>
    <row r="7" spans="1:18" x14ac:dyDescent="0.25">
      <c r="A7" s="22"/>
      <c r="B7" s="23"/>
      <c r="C7" s="24"/>
      <c r="D7" s="25"/>
      <c r="E7" s="26"/>
      <c r="F7" s="24"/>
      <c r="G7" s="27"/>
      <c r="H7" s="28"/>
      <c r="J7" s="24"/>
      <c r="K7" s="31"/>
      <c r="M7" s="23"/>
      <c r="N7" s="30"/>
    </row>
    <row r="8" spans="1:18" x14ac:dyDescent="0.25">
      <c r="A8" s="32">
        <v>1</v>
      </c>
      <c r="B8" s="33" t="s">
        <v>14</v>
      </c>
      <c r="C8" s="34">
        <v>2</v>
      </c>
      <c r="D8" s="35">
        <v>0</v>
      </c>
      <c r="E8" s="36">
        <f t="shared" ref="E8:E26" si="0">C8+D8</f>
        <v>2</v>
      </c>
      <c r="F8" s="34">
        <v>2</v>
      </c>
      <c r="G8" s="35">
        <v>16</v>
      </c>
      <c r="H8" s="39">
        <v>725586</v>
      </c>
      <c r="J8" s="40"/>
      <c r="K8" s="41"/>
      <c r="M8" s="42" t="e">
        <f>G8/J8</f>
        <v>#DIV/0!</v>
      </c>
      <c r="N8" s="43" t="e">
        <f>H8/K8</f>
        <v>#DIV/0!</v>
      </c>
    </row>
    <row r="9" spans="1:18" x14ac:dyDescent="0.25">
      <c r="A9" s="32">
        <f t="shared" ref="A9:A26" si="1">A8+1</f>
        <v>2</v>
      </c>
      <c r="B9" s="33" t="s">
        <v>15</v>
      </c>
      <c r="C9" s="34">
        <v>6</v>
      </c>
      <c r="D9" s="35">
        <v>1</v>
      </c>
      <c r="E9" s="36">
        <f t="shared" si="0"/>
        <v>7</v>
      </c>
      <c r="F9" s="34">
        <v>2</v>
      </c>
      <c r="G9" s="35">
        <v>38</v>
      </c>
      <c r="H9" s="39">
        <v>1842224</v>
      </c>
      <c r="J9" s="40"/>
      <c r="K9" s="41"/>
      <c r="M9" s="42" t="e">
        <f t="shared" ref="M9:M39" si="2">G9/J9</f>
        <v>#DIV/0!</v>
      </c>
      <c r="N9" s="43" t="e">
        <f t="shared" ref="N9:N39" si="3">H9/K9</f>
        <v>#DIV/0!</v>
      </c>
    </row>
    <row r="10" spans="1:18" x14ac:dyDescent="0.25">
      <c r="A10" s="32">
        <f t="shared" si="1"/>
        <v>3</v>
      </c>
      <c r="B10" s="33" t="s">
        <v>16</v>
      </c>
      <c r="C10" s="34">
        <v>6</v>
      </c>
      <c r="D10" s="35">
        <v>5</v>
      </c>
      <c r="E10" s="36">
        <f t="shared" si="0"/>
        <v>11</v>
      </c>
      <c r="F10" s="34">
        <v>6</v>
      </c>
      <c r="G10" s="35">
        <v>30</v>
      </c>
      <c r="H10" s="39">
        <v>1265632</v>
      </c>
      <c r="J10" s="40"/>
      <c r="K10" s="41"/>
      <c r="M10" s="42" t="e">
        <f t="shared" si="2"/>
        <v>#DIV/0!</v>
      </c>
      <c r="N10" s="43" t="e">
        <f t="shared" si="3"/>
        <v>#DIV/0!</v>
      </c>
    </row>
    <row r="11" spans="1:18" x14ac:dyDescent="0.25">
      <c r="A11" s="32">
        <f t="shared" si="1"/>
        <v>4</v>
      </c>
      <c r="B11" s="44" t="s">
        <v>17</v>
      </c>
      <c r="C11" s="45">
        <v>2</v>
      </c>
      <c r="D11" s="46">
        <v>6</v>
      </c>
      <c r="E11" s="36">
        <f t="shared" si="0"/>
        <v>8</v>
      </c>
      <c r="F11" s="34">
        <v>1</v>
      </c>
      <c r="G11" s="35">
        <v>8</v>
      </c>
      <c r="H11" s="39">
        <v>360726</v>
      </c>
      <c r="J11" s="40"/>
      <c r="K11" s="41"/>
      <c r="M11" s="42" t="e">
        <f t="shared" si="2"/>
        <v>#DIV/0!</v>
      </c>
      <c r="N11" s="43" t="e">
        <f t="shared" si="3"/>
        <v>#DIV/0!</v>
      </c>
      <c r="R11" s="47"/>
    </row>
    <row r="12" spans="1:18" x14ac:dyDescent="0.25">
      <c r="A12" s="32">
        <f t="shared" si="1"/>
        <v>5</v>
      </c>
      <c r="B12" s="33" t="s">
        <v>18</v>
      </c>
      <c r="C12" s="34">
        <v>1</v>
      </c>
      <c r="D12" s="35">
        <v>0</v>
      </c>
      <c r="E12" s="36">
        <f t="shared" si="0"/>
        <v>1</v>
      </c>
      <c r="F12" s="34">
        <v>0</v>
      </c>
      <c r="G12" s="35">
        <v>0</v>
      </c>
      <c r="H12" s="39">
        <v>0</v>
      </c>
      <c r="J12" s="40"/>
      <c r="K12" s="41"/>
      <c r="M12" s="42" t="e">
        <f t="shared" si="2"/>
        <v>#DIV/0!</v>
      </c>
      <c r="N12" s="43" t="e">
        <f t="shared" si="3"/>
        <v>#DIV/0!</v>
      </c>
      <c r="R12" s="47"/>
    </row>
    <row r="13" spans="1:18" x14ac:dyDescent="0.25">
      <c r="A13" s="32">
        <f t="shared" si="1"/>
        <v>6</v>
      </c>
      <c r="B13" s="33" t="s">
        <v>19</v>
      </c>
      <c r="C13" s="34">
        <v>1</v>
      </c>
      <c r="D13" s="35">
        <v>0</v>
      </c>
      <c r="E13" s="36">
        <f t="shared" si="0"/>
        <v>1</v>
      </c>
      <c r="F13" s="34">
        <v>0</v>
      </c>
      <c r="G13" s="35">
        <v>0</v>
      </c>
      <c r="H13" s="39">
        <v>0</v>
      </c>
      <c r="I13" s="48"/>
      <c r="J13" s="40"/>
      <c r="K13" s="41"/>
      <c r="L13" s="48"/>
      <c r="M13" s="42" t="e">
        <f t="shared" si="2"/>
        <v>#DIV/0!</v>
      </c>
      <c r="N13" s="43" t="e">
        <f t="shared" si="3"/>
        <v>#DIV/0!</v>
      </c>
      <c r="R13" s="47"/>
    </row>
    <row r="14" spans="1:18" x14ac:dyDescent="0.25">
      <c r="A14" s="32">
        <f t="shared" si="1"/>
        <v>7</v>
      </c>
      <c r="B14" s="33" t="s">
        <v>20</v>
      </c>
      <c r="C14" s="34">
        <v>0</v>
      </c>
      <c r="D14" s="35">
        <v>0</v>
      </c>
      <c r="E14" s="36">
        <f t="shared" si="0"/>
        <v>0</v>
      </c>
      <c r="F14" s="34">
        <v>0</v>
      </c>
      <c r="G14" s="35">
        <v>0</v>
      </c>
      <c r="H14" s="39">
        <v>0</v>
      </c>
      <c r="I14" s="48"/>
      <c r="J14" s="40"/>
      <c r="K14" s="41"/>
      <c r="L14" s="48"/>
      <c r="M14" s="42" t="e">
        <f t="shared" si="2"/>
        <v>#DIV/0!</v>
      </c>
      <c r="N14" s="43" t="e">
        <f t="shared" si="3"/>
        <v>#DIV/0!</v>
      </c>
      <c r="R14" s="47"/>
    </row>
    <row r="15" spans="1:18" x14ac:dyDescent="0.25">
      <c r="A15" s="32">
        <f t="shared" si="1"/>
        <v>8</v>
      </c>
      <c r="B15" s="33" t="s">
        <v>21</v>
      </c>
      <c r="C15" s="34">
        <v>2</v>
      </c>
      <c r="D15" s="35">
        <v>1</v>
      </c>
      <c r="E15" s="36">
        <f t="shared" si="0"/>
        <v>3</v>
      </c>
      <c r="F15" s="34">
        <v>4</v>
      </c>
      <c r="G15" s="35">
        <v>27</v>
      </c>
      <c r="H15" s="39">
        <v>1327594</v>
      </c>
      <c r="I15" s="48"/>
      <c r="J15" s="40"/>
      <c r="K15" s="41"/>
      <c r="L15" s="48"/>
      <c r="M15" s="42" t="e">
        <f t="shared" si="2"/>
        <v>#DIV/0!</v>
      </c>
      <c r="N15" s="43" t="e">
        <f t="shared" si="3"/>
        <v>#DIV/0!</v>
      </c>
      <c r="R15" s="47"/>
    </row>
    <row r="16" spans="1:18" x14ac:dyDescent="0.25">
      <c r="A16" s="32">
        <f t="shared" si="1"/>
        <v>9</v>
      </c>
      <c r="B16" s="33" t="s">
        <v>22</v>
      </c>
      <c r="C16" s="34">
        <v>0</v>
      </c>
      <c r="D16" s="35">
        <v>0</v>
      </c>
      <c r="E16" s="36">
        <f t="shared" si="0"/>
        <v>0</v>
      </c>
      <c r="F16" s="34">
        <v>0</v>
      </c>
      <c r="G16" s="35">
        <v>0</v>
      </c>
      <c r="H16" s="39">
        <v>0</v>
      </c>
      <c r="I16" s="48"/>
      <c r="J16" s="40"/>
      <c r="K16" s="41"/>
      <c r="L16" s="48"/>
      <c r="M16" s="42" t="e">
        <f t="shared" si="2"/>
        <v>#DIV/0!</v>
      </c>
      <c r="N16" s="43" t="e">
        <f t="shared" si="3"/>
        <v>#DIV/0!</v>
      </c>
    </row>
    <row r="17" spans="1:14" x14ac:dyDescent="0.25">
      <c r="A17" s="32">
        <f t="shared" si="1"/>
        <v>10</v>
      </c>
      <c r="B17" s="33" t="s">
        <v>23</v>
      </c>
      <c r="C17" s="34">
        <v>8</v>
      </c>
      <c r="D17" s="35">
        <v>1</v>
      </c>
      <c r="E17" s="36">
        <f t="shared" si="0"/>
        <v>9</v>
      </c>
      <c r="F17" s="34">
        <v>1</v>
      </c>
      <c r="G17" s="35">
        <v>14</v>
      </c>
      <c r="H17" s="39">
        <v>699342</v>
      </c>
      <c r="I17" s="48"/>
      <c r="J17" s="40"/>
      <c r="K17" s="41"/>
      <c r="L17" s="48"/>
      <c r="M17" s="42" t="e">
        <f t="shared" si="2"/>
        <v>#DIV/0!</v>
      </c>
      <c r="N17" s="43" t="e">
        <f t="shared" si="3"/>
        <v>#DIV/0!</v>
      </c>
    </row>
    <row r="18" spans="1:14" x14ac:dyDescent="0.25">
      <c r="A18" s="32">
        <f t="shared" si="1"/>
        <v>11</v>
      </c>
      <c r="B18" s="33" t="s">
        <v>24</v>
      </c>
      <c r="C18" s="34">
        <v>7</v>
      </c>
      <c r="D18" s="35">
        <v>2</v>
      </c>
      <c r="E18" s="36">
        <f t="shared" si="0"/>
        <v>9</v>
      </c>
      <c r="F18" s="34">
        <v>4</v>
      </c>
      <c r="G18" s="35">
        <v>60</v>
      </c>
      <c r="H18" s="39">
        <v>2836289</v>
      </c>
      <c r="I18" s="48"/>
      <c r="J18" s="40"/>
      <c r="K18" s="41"/>
      <c r="L18" s="48"/>
      <c r="M18" s="42" t="e">
        <f t="shared" si="2"/>
        <v>#DIV/0!</v>
      </c>
      <c r="N18" s="43" t="e">
        <f t="shared" si="3"/>
        <v>#DIV/0!</v>
      </c>
    </row>
    <row r="19" spans="1:14" s="48" customFormat="1" x14ac:dyDescent="0.25">
      <c r="A19" s="51">
        <f t="shared" si="1"/>
        <v>12</v>
      </c>
      <c r="B19" s="52" t="s">
        <v>25</v>
      </c>
      <c r="C19" s="53">
        <v>5</v>
      </c>
      <c r="D19" s="54">
        <v>0</v>
      </c>
      <c r="E19" s="55">
        <f t="shared" si="0"/>
        <v>5</v>
      </c>
      <c r="F19" s="53">
        <v>0</v>
      </c>
      <c r="G19" s="54">
        <v>0</v>
      </c>
      <c r="H19" s="56">
        <v>0</v>
      </c>
      <c r="J19" s="40"/>
      <c r="K19" s="41"/>
      <c r="M19" s="42" t="e">
        <f t="shared" si="2"/>
        <v>#DIV/0!</v>
      </c>
      <c r="N19" s="43" t="e">
        <f t="shared" si="3"/>
        <v>#DIV/0!</v>
      </c>
    </row>
    <row r="20" spans="1:14" x14ac:dyDescent="0.25">
      <c r="A20" s="32">
        <f t="shared" si="1"/>
        <v>13</v>
      </c>
      <c r="B20" s="33" t="s">
        <v>26</v>
      </c>
      <c r="C20" s="34">
        <v>10</v>
      </c>
      <c r="D20" s="35">
        <v>6</v>
      </c>
      <c r="E20" s="36">
        <f t="shared" si="0"/>
        <v>16</v>
      </c>
      <c r="F20" s="34">
        <v>9</v>
      </c>
      <c r="G20" s="35">
        <v>36</v>
      </c>
      <c r="H20" s="39">
        <v>1359015</v>
      </c>
      <c r="I20" s="48"/>
      <c r="J20" s="40"/>
      <c r="K20" s="41"/>
      <c r="L20" s="48"/>
      <c r="M20" s="42" t="e">
        <f t="shared" si="2"/>
        <v>#DIV/0!</v>
      </c>
      <c r="N20" s="43" t="e">
        <f t="shared" si="3"/>
        <v>#DIV/0!</v>
      </c>
    </row>
    <row r="21" spans="1:14" x14ac:dyDescent="0.25">
      <c r="A21" s="32">
        <f t="shared" si="1"/>
        <v>14</v>
      </c>
      <c r="B21" s="33" t="s">
        <v>27</v>
      </c>
      <c r="C21" s="34">
        <v>3</v>
      </c>
      <c r="D21" s="35">
        <v>6</v>
      </c>
      <c r="E21" s="36">
        <f t="shared" si="0"/>
        <v>9</v>
      </c>
      <c r="F21" s="34">
        <v>6</v>
      </c>
      <c r="G21" s="35">
        <v>22</v>
      </c>
      <c r="H21" s="39">
        <v>739848</v>
      </c>
      <c r="I21" s="48"/>
      <c r="J21" s="40"/>
      <c r="K21" s="41"/>
      <c r="L21" s="48"/>
      <c r="M21" s="42" t="e">
        <f t="shared" si="2"/>
        <v>#DIV/0!</v>
      </c>
      <c r="N21" s="43" t="e">
        <f t="shared" si="3"/>
        <v>#DIV/0!</v>
      </c>
    </row>
    <row r="22" spans="1:14" x14ac:dyDescent="0.25">
      <c r="A22" s="32">
        <f t="shared" si="1"/>
        <v>15</v>
      </c>
      <c r="B22" s="57" t="s">
        <v>28</v>
      </c>
      <c r="C22" s="34">
        <v>10</v>
      </c>
      <c r="D22" s="35">
        <v>7</v>
      </c>
      <c r="E22" s="36">
        <f t="shared" si="0"/>
        <v>17</v>
      </c>
      <c r="F22" s="34">
        <v>19</v>
      </c>
      <c r="G22" s="35">
        <v>137</v>
      </c>
      <c r="H22" s="39">
        <v>5449586</v>
      </c>
      <c r="I22" s="48"/>
      <c r="J22" s="40"/>
      <c r="K22" s="41"/>
      <c r="L22" s="48"/>
      <c r="M22" s="42" t="e">
        <f t="shared" si="2"/>
        <v>#DIV/0!</v>
      </c>
      <c r="N22" s="43" t="e">
        <f t="shared" si="3"/>
        <v>#DIV/0!</v>
      </c>
    </row>
    <row r="23" spans="1:14" x14ac:dyDescent="0.25">
      <c r="A23" s="32">
        <f t="shared" si="1"/>
        <v>16</v>
      </c>
      <c r="B23" s="33" t="s">
        <v>29</v>
      </c>
      <c r="C23" s="34">
        <v>20</v>
      </c>
      <c r="D23" s="35">
        <v>3</v>
      </c>
      <c r="E23" s="36">
        <f t="shared" si="0"/>
        <v>23</v>
      </c>
      <c r="F23" s="34">
        <v>15</v>
      </c>
      <c r="G23" s="35">
        <v>229</v>
      </c>
      <c r="H23" s="39">
        <v>11105852</v>
      </c>
      <c r="J23" s="58">
        <v>140</v>
      </c>
      <c r="K23" s="59">
        <v>7183543.8843930643</v>
      </c>
      <c r="M23" s="42">
        <f t="shared" si="2"/>
        <v>1.6357142857142857</v>
      </c>
      <c r="N23" s="43">
        <f t="shared" si="3"/>
        <v>1.5460129677955368</v>
      </c>
    </row>
    <row r="24" spans="1:14" x14ac:dyDescent="0.25">
      <c r="A24" s="32">
        <f t="shared" si="1"/>
        <v>17</v>
      </c>
      <c r="B24" s="33" t="s">
        <v>30</v>
      </c>
      <c r="C24" s="34">
        <v>0</v>
      </c>
      <c r="D24" s="35">
        <v>7</v>
      </c>
      <c r="E24" s="36">
        <f t="shared" si="0"/>
        <v>7</v>
      </c>
      <c r="F24" s="34">
        <v>1</v>
      </c>
      <c r="G24" s="35">
        <v>3</v>
      </c>
      <c r="H24" s="39">
        <v>87312</v>
      </c>
      <c r="J24" s="40"/>
      <c r="K24" s="41"/>
      <c r="M24" s="42" t="e">
        <f t="shared" si="2"/>
        <v>#DIV/0!</v>
      </c>
      <c r="N24" s="43" t="e">
        <f t="shared" si="3"/>
        <v>#DIV/0!</v>
      </c>
    </row>
    <row r="25" spans="1:14" x14ac:dyDescent="0.25">
      <c r="A25" s="32">
        <f t="shared" si="1"/>
        <v>18</v>
      </c>
      <c r="B25" s="33" t="s">
        <v>31</v>
      </c>
      <c r="C25" s="34">
        <v>5</v>
      </c>
      <c r="D25" s="35">
        <v>11</v>
      </c>
      <c r="E25" s="36">
        <f t="shared" si="0"/>
        <v>16</v>
      </c>
      <c r="F25" s="34">
        <v>0</v>
      </c>
      <c r="G25" s="35">
        <v>0</v>
      </c>
      <c r="H25" s="39">
        <v>0</v>
      </c>
      <c r="J25" s="40">
        <v>216</v>
      </c>
      <c r="K25" s="41">
        <v>9400565.8959537577</v>
      </c>
      <c r="M25" s="42">
        <f t="shared" si="2"/>
        <v>0</v>
      </c>
      <c r="N25" s="43">
        <f t="shared" si="3"/>
        <v>0</v>
      </c>
    </row>
    <row r="26" spans="1:14" x14ac:dyDescent="0.25">
      <c r="A26" s="60">
        <f t="shared" si="1"/>
        <v>19</v>
      </c>
      <c r="B26" s="61" t="s">
        <v>32</v>
      </c>
      <c r="C26" s="62">
        <v>26</v>
      </c>
      <c r="D26" s="63">
        <v>10</v>
      </c>
      <c r="E26" s="64">
        <f t="shared" si="0"/>
        <v>36</v>
      </c>
      <c r="F26" s="34">
        <v>8</v>
      </c>
      <c r="G26" s="35">
        <v>92</v>
      </c>
      <c r="H26" s="39">
        <v>4839009</v>
      </c>
      <c r="J26" s="40">
        <v>504</v>
      </c>
      <c r="K26" s="41">
        <v>26192104.578034684</v>
      </c>
      <c r="M26" s="42">
        <f t="shared" si="2"/>
        <v>0.18253968253968253</v>
      </c>
      <c r="N26" s="43">
        <f t="shared" si="3"/>
        <v>0.18475067498234207</v>
      </c>
    </row>
    <row r="27" spans="1:14" x14ac:dyDescent="0.25">
      <c r="A27" s="32"/>
      <c r="B27" s="61" t="s">
        <v>33</v>
      </c>
      <c r="C27" s="34"/>
      <c r="D27" s="35"/>
      <c r="E27" s="36"/>
      <c r="F27" s="34">
        <v>0</v>
      </c>
      <c r="G27" s="35">
        <v>0</v>
      </c>
      <c r="H27" s="39">
        <v>0</v>
      </c>
      <c r="J27" s="67"/>
      <c r="K27" s="68"/>
      <c r="M27" s="42" t="e">
        <f t="shared" si="2"/>
        <v>#DIV/0!</v>
      </c>
      <c r="N27" s="43" t="e">
        <f t="shared" si="3"/>
        <v>#DIV/0!</v>
      </c>
    </row>
    <row r="28" spans="1:14" x14ac:dyDescent="0.25">
      <c r="A28" s="32"/>
      <c r="B28" s="33" t="s">
        <v>34</v>
      </c>
      <c r="C28" s="34"/>
      <c r="D28" s="35"/>
      <c r="E28" s="36"/>
      <c r="F28" s="34">
        <v>0</v>
      </c>
      <c r="G28" s="35">
        <v>0</v>
      </c>
      <c r="H28" s="39">
        <v>0</v>
      </c>
      <c r="J28" s="40"/>
      <c r="K28" s="41"/>
      <c r="M28" s="42" t="e">
        <f t="shared" si="2"/>
        <v>#DIV/0!</v>
      </c>
      <c r="N28" s="43" t="e">
        <f t="shared" si="3"/>
        <v>#DIV/0!</v>
      </c>
    </row>
    <row r="29" spans="1:14" x14ac:dyDescent="0.25">
      <c r="A29" s="32">
        <v>20</v>
      </c>
      <c r="B29" s="33" t="s">
        <v>35</v>
      </c>
      <c r="C29" s="34">
        <v>0</v>
      </c>
      <c r="D29" s="35">
        <v>3</v>
      </c>
      <c r="E29" s="36">
        <f t="shared" ref="E29:E39" si="4">C29+D29</f>
        <v>3</v>
      </c>
      <c r="F29" s="34">
        <v>0</v>
      </c>
      <c r="G29" s="35">
        <v>0</v>
      </c>
      <c r="H29" s="39">
        <v>0</v>
      </c>
      <c r="J29" s="40"/>
      <c r="K29" s="41"/>
      <c r="M29" s="42" t="e">
        <f t="shared" si="2"/>
        <v>#DIV/0!</v>
      </c>
      <c r="N29" s="43" t="e">
        <f t="shared" si="3"/>
        <v>#DIV/0!</v>
      </c>
    </row>
    <row r="30" spans="1:14" x14ac:dyDescent="0.25">
      <c r="A30" s="60">
        <f t="shared" ref="A30:A39" si="5">A29+1</f>
        <v>21</v>
      </c>
      <c r="B30" s="61" t="s">
        <v>36</v>
      </c>
      <c r="C30" s="62">
        <v>8</v>
      </c>
      <c r="D30" s="63">
        <v>1</v>
      </c>
      <c r="E30" s="64">
        <f t="shared" si="4"/>
        <v>9</v>
      </c>
      <c r="F30" s="34">
        <v>0</v>
      </c>
      <c r="G30" s="35">
        <v>0</v>
      </c>
      <c r="H30" s="39">
        <v>0</v>
      </c>
      <c r="J30" s="40"/>
      <c r="K30" s="41"/>
      <c r="M30" s="42" t="e">
        <f t="shared" si="2"/>
        <v>#DIV/0!</v>
      </c>
      <c r="N30" s="43" t="e">
        <f t="shared" si="3"/>
        <v>#DIV/0!</v>
      </c>
    </row>
    <row r="31" spans="1:14" x14ac:dyDescent="0.25">
      <c r="A31" s="32">
        <f t="shared" si="5"/>
        <v>22</v>
      </c>
      <c r="B31" s="33" t="s">
        <v>37</v>
      </c>
      <c r="C31" s="34">
        <v>9</v>
      </c>
      <c r="D31" s="35">
        <v>3</v>
      </c>
      <c r="E31" s="36">
        <f t="shared" si="4"/>
        <v>12</v>
      </c>
      <c r="F31" s="34">
        <v>0</v>
      </c>
      <c r="G31" s="35">
        <v>0</v>
      </c>
      <c r="H31" s="39">
        <v>0</v>
      </c>
      <c r="J31" s="74"/>
      <c r="K31" s="68"/>
      <c r="M31" s="42" t="e">
        <f t="shared" si="2"/>
        <v>#DIV/0!</v>
      </c>
      <c r="N31" s="43" t="e">
        <f t="shared" si="3"/>
        <v>#DIV/0!</v>
      </c>
    </row>
    <row r="32" spans="1:14" x14ac:dyDescent="0.25">
      <c r="A32" s="32">
        <f t="shared" si="5"/>
        <v>23</v>
      </c>
      <c r="B32" s="33" t="s">
        <v>38</v>
      </c>
      <c r="C32" s="34">
        <v>10</v>
      </c>
      <c r="D32" s="35">
        <v>3</v>
      </c>
      <c r="E32" s="36">
        <f t="shared" si="4"/>
        <v>13</v>
      </c>
      <c r="F32" s="34">
        <v>0</v>
      </c>
      <c r="G32" s="35">
        <v>0</v>
      </c>
      <c r="H32" s="39">
        <v>0</v>
      </c>
      <c r="I32" s="48"/>
      <c r="J32" s="40"/>
      <c r="K32" s="41"/>
      <c r="L32" s="48"/>
      <c r="M32" s="42" t="e">
        <f t="shared" si="2"/>
        <v>#DIV/0!</v>
      </c>
      <c r="N32" s="43" t="e">
        <f t="shared" si="3"/>
        <v>#DIV/0!</v>
      </c>
    </row>
    <row r="33" spans="1:18" x14ac:dyDescent="0.25">
      <c r="A33" s="32">
        <f t="shared" si="5"/>
        <v>24</v>
      </c>
      <c r="B33" s="33" t="s">
        <v>39</v>
      </c>
      <c r="C33" s="34">
        <v>9</v>
      </c>
      <c r="D33" s="35">
        <v>0</v>
      </c>
      <c r="E33" s="36">
        <f t="shared" si="4"/>
        <v>9</v>
      </c>
      <c r="F33" s="34">
        <v>6</v>
      </c>
      <c r="G33" s="35">
        <v>67.5</v>
      </c>
      <c r="H33" s="39">
        <v>3323260</v>
      </c>
      <c r="I33" s="48"/>
      <c r="J33" s="40"/>
      <c r="K33" s="41"/>
      <c r="L33" s="48"/>
      <c r="M33" s="42" t="e">
        <f t="shared" si="2"/>
        <v>#DIV/0!</v>
      </c>
      <c r="N33" s="43" t="e">
        <f t="shared" si="3"/>
        <v>#DIV/0!</v>
      </c>
    </row>
    <row r="34" spans="1:18" x14ac:dyDescent="0.25">
      <c r="A34" s="32">
        <f t="shared" si="5"/>
        <v>25</v>
      </c>
      <c r="B34" s="33" t="s">
        <v>40</v>
      </c>
      <c r="C34" s="34">
        <v>1</v>
      </c>
      <c r="D34" s="35">
        <v>1</v>
      </c>
      <c r="E34" s="36">
        <f t="shared" si="4"/>
        <v>2</v>
      </c>
      <c r="F34" s="34">
        <v>0</v>
      </c>
      <c r="G34" s="35">
        <v>0</v>
      </c>
      <c r="H34" s="39">
        <v>0</v>
      </c>
      <c r="I34" s="48"/>
      <c r="J34" s="40"/>
      <c r="K34" s="41"/>
      <c r="L34" s="48"/>
      <c r="M34" s="42" t="e">
        <f t="shared" si="2"/>
        <v>#DIV/0!</v>
      </c>
      <c r="N34" s="43" t="e">
        <f t="shared" si="3"/>
        <v>#DIV/0!</v>
      </c>
    </row>
    <row r="35" spans="1:18" x14ac:dyDescent="0.25">
      <c r="A35" s="32">
        <f t="shared" si="5"/>
        <v>26</v>
      </c>
      <c r="B35" s="33" t="s">
        <v>41</v>
      </c>
      <c r="C35" s="34">
        <v>5</v>
      </c>
      <c r="D35" s="35">
        <v>0</v>
      </c>
      <c r="E35" s="36">
        <f t="shared" si="4"/>
        <v>5</v>
      </c>
      <c r="F35" s="34">
        <v>1</v>
      </c>
      <c r="G35" s="35">
        <v>19</v>
      </c>
      <c r="H35" s="39">
        <v>928087</v>
      </c>
      <c r="I35" s="48"/>
      <c r="J35" s="58"/>
      <c r="K35" s="59"/>
      <c r="L35" s="48"/>
      <c r="M35" s="42" t="e">
        <f t="shared" si="2"/>
        <v>#DIV/0!</v>
      </c>
      <c r="N35" s="43" t="e">
        <f t="shared" si="3"/>
        <v>#DIV/0!</v>
      </c>
    </row>
    <row r="36" spans="1:18" x14ac:dyDescent="0.25">
      <c r="A36" s="32">
        <f t="shared" si="5"/>
        <v>27</v>
      </c>
      <c r="B36" s="33" t="s">
        <v>42</v>
      </c>
      <c r="C36" s="34">
        <v>6</v>
      </c>
      <c r="D36" s="35">
        <v>0</v>
      </c>
      <c r="E36" s="36">
        <f t="shared" si="4"/>
        <v>6</v>
      </c>
      <c r="F36" s="34">
        <v>3</v>
      </c>
      <c r="G36" s="35">
        <v>15</v>
      </c>
      <c r="H36" s="39">
        <v>741046</v>
      </c>
      <c r="J36" s="40"/>
      <c r="K36" s="41"/>
      <c r="M36" s="42" t="e">
        <f t="shared" si="2"/>
        <v>#DIV/0!</v>
      </c>
      <c r="N36" s="43" t="e">
        <f t="shared" si="3"/>
        <v>#DIV/0!</v>
      </c>
    </row>
    <row r="37" spans="1:18" x14ac:dyDescent="0.25">
      <c r="A37" s="32">
        <f t="shared" si="5"/>
        <v>28</v>
      </c>
      <c r="B37" s="44" t="s">
        <v>43</v>
      </c>
      <c r="C37" s="45">
        <v>1</v>
      </c>
      <c r="D37" s="46">
        <v>15</v>
      </c>
      <c r="E37" s="36">
        <f t="shared" si="4"/>
        <v>16</v>
      </c>
      <c r="F37" s="34">
        <v>17</v>
      </c>
      <c r="G37" s="35">
        <v>71</v>
      </c>
      <c r="H37" s="39">
        <v>2900500</v>
      </c>
      <c r="J37" s="58">
        <v>24</v>
      </c>
      <c r="K37" s="59">
        <v>959364.62427745666</v>
      </c>
      <c r="M37" s="42">
        <f t="shared" si="2"/>
        <v>2.9583333333333335</v>
      </c>
      <c r="N37" s="43">
        <f t="shared" si="3"/>
        <v>3.0233551734143886</v>
      </c>
    </row>
    <row r="38" spans="1:18" x14ac:dyDescent="0.25">
      <c r="A38" s="32">
        <f t="shared" si="5"/>
        <v>29</v>
      </c>
      <c r="B38" s="33" t="s">
        <v>44</v>
      </c>
      <c r="C38" s="34">
        <v>4</v>
      </c>
      <c r="D38" s="35">
        <v>3</v>
      </c>
      <c r="E38" s="36">
        <f t="shared" si="4"/>
        <v>7</v>
      </c>
      <c r="F38" s="34">
        <v>2</v>
      </c>
      <c r="G38" s="35">
        <v>27</v>
      </c>
      <c r="H38" s="39">
        <v>1347500</v>
      </c>
      <c r="J38" s="58"/>
      <c r="K38" s="59"/>
      <c r="M38" s="42" t="e">
        <f t="shared" si="2"/>
        <v>#DIV/0!</v>
      </c>
      <c r="N38" s="43" t="e">
        <f t="shared" si="3"/>
        <v>#DIV/0!</v>
      </c>
    </row>
    <row r="39" spans="1:18" x14ac:dyDescent="0.25">
      <c r="A39" s="32">
        <f t="shared" si="5"/>
        <v>30</v>
      </c>
      <c r="B39" s="44" t="s">
        <v>45</v>
      </c>
      <c r="C39" s="34">
        <v>1</v>
      </c>
      <c r="D39" s="35">
        <v>0</v>
      </c>
      <c r="E39" s="36">
        <f t="shared" si="4"/>
        <v>1</v>
      </c>
      <c r="F39" s="34">
        <v>0</v>
      </c>
      <c r="G39" s="35">
        <v>0</v>
      </c>
      <c r="H39" s="39">
        <v>0</v>
      </c>
      <c r="J39" s="58"/>
      <c r="K39" s="59"/>
      <c r="M39" s="42" t="e">
        <f t="shared" si="2"/>
        <v>#DIV/0!</v>
      </c>
      <c r="N39" s="43" t="e">
        <f t="shared" si="3"/>
        <v>#DIV/0!</v>
      </c>
    </row>
    <row r="40" spans="1:18" ht="15.75" thickBot="1" x14ac:dyDescent="0.3">
      <c r="A40" s="75"/>
      <c r="B40" s="76"/>
      <c r="C40" s="45"/>
      <c r="D40" s="46"/>
      <c r="E40" s="77"/>
      <c r="F40" s="78"/>
      <c r="G40" s="79"/>
      <c r="H40" s="77"/>
      <c r="J40" s="81"/>
      <c r="K40" s="82"/>
      <c r="M40" s="83"/>
      <c r="N40" s="84"/>
    </row>
    <row r="41" spans="1:18" ht="15.75" thickBot="1" x14ac:dyDescent="0.3">
      <c r="A41" s="85"/>
      <c r="B41" s="86" t="s">
        <v>46</v>
      </c>
      <c r="C41" s="87">
        <f>SUM(C8:C39)</f>
        <v>168</v>
      </c>
      <c r="D41" s="88">
        <f>SUM(D8:D39)</f>
        <v>95</v>
      </c>
      <c r="E41" s="89">
        <f>SUM(E8:E38)</f>
        <v>262</v>
      </c>
      <c r="F41" s="90">
        <f t="shared" ref="F41:H41" si="6">SUM(F8:F40)</f>
        <v>107</v>
      </c>
      <c r="G41" s="91">
        <f t="shared" si="6"/>
        <v>911.5</v>
      </c>
      <c r="H41" s="92">
        <f t="shared" si="6"/>
        <v>41878408</v>
      </c>
      <c r="J41" s="94">
        <f>SUM(J8:J40)</f>
        <v>884</v>
      </c>
      <c r="K41" s="95">
        <f>SUM(K8:K40)</f>
        <v>43735578.982658967</v>
      </c>
      <c r="M41" s="96">
        <f>G41/J41</f>
        <v>1.0311085972850678</v>
      </c>
      <c r="N41" s="97">
        <f>H41/K41</f>
        <v>0.95753638054282231</v>
      </c>
    </row>
    <row r="42" spans="1:18" x14ac:dyDescent="0.25">
      <c r="A42" s="60"/>
      <c r="B42" s="98"/>
      <c r="C42" s="62"/>
      <c r="D42" s="63"/>
      <c r="E42" s="64"/>
      <c r="F42" s="99"/>
      <c r="G42" s="72"/>
      <c r="H42" s="64"/>
      <c r="J42" s="67"/>
      <c r="K42" s="101"/>
      <c r="M42" s="69"/>
      <c r="N42" s="70"/>
    </row>
    <row r="43" spans="1:18" x14ac:dyDescent="0.25">
      <c r="A43" s="32"/>
      <c r="B43" s="102"/>
      <c r="C43" s="34"/>
      <c r="D43" s="35"/>
      <c r="E43" s="36"/>
      <c r="F43" s="37"/>
      <c r="G43" s="63"/>
      <c r="H43" s="63"/>
      <c r="J43" s="40"/>
      <c r="K43" s="103"/>
      <c r="M43" s="42"/>
      <c r="N43" s="104"/>
    </row>
    <row r="44" spans="1:18" x14ac:dyDescent="0.25">
      <c r="A44" s="32"/>
      <c r="B44" s="105"/>
      <c r="C44" s="34"/>
      <c r="D44" s="35"/>
      <c r="E44" s="36"/>
      <c r="F44" s="37"/>
      <c r="G44" s="63"/>
      <c r="H44" s="100"/>
      <c r="J44" s="67"/>
      <c r="K44" s="101"/>
      <c r="M44" s="42"/>
      <c r="N44" s="104"/>
    </row>
    <row r="45" spans="1:18" x14ac:dyDescent="0.25">
      <c r="A45" s="32">
        <v>1</v>
      </c>
      <c r="B45" s="33" t="s">
        <v>47</v>
      </c>
      <c r="C45" s="34">
        <v>4</v>
      </c>
      <c r="D45" s="35">
        <v>4</v>
      </c>
      <c r="E45" s="36">
        <f t="shared" ref="E45:E50" si="7">C45+D45</f>
        <v>8</v>
      </c>
      <c r="F45" s="34">
        <v>0</v>
      </c>
      <c r="G45" s="35">
        <v>0</v>
      </c>
      <c r="H45" s="39">
        <v>0</v>
      </c>
      <c r="J45" s="106"/>
      <c r="K45" s="68"/>
      <c r="M45" s="42" t="e">
        <f>G45/J45</f>
        <v>#DIV/0!</v>
      </c>
      <c r="N45" s="254" t="e">
        <f>H45/K45</f>
        <v>#DIV/0!</v>
      </c>
    </row>
    <row r="46" spans="1:18" x14ac:dyDescent="0.25">
      <c r="A46" s="32">
        <v>2</v>
      </c>
      <c r="B46" s="33" t="s">
        <v>48</v>
      </c>
      <c r="C46" s="34">
        <v>8</v>
      </c>
      <c r="D46" s="35">
        <v>1</v>
      </c>
      <c r="E46" s="36">
        <f t="shared" si="7"/>
        <v>9</v>
      </c>
      <c r="F46" s="34">
        <v>7</v>
      </c>
      <c r="G46" s="35">
        <v>45.5</v>
      </c>
      <c r="H46" s="39">
        <v>2440277.5</v>
      </c>
      <c r="I46" s="48"/>
      <c r="J46" s="106"/>
      <c r="K46" s="107"/>
      <c r="L46" s="48"/>
      <c r="M46" s="42" t="e">
        <f t="shared" ref="M46:M50" si="8">G46/J46</f>
        <v>#DIV/0!</v>
      </c>
      <c r="N46" s="254" t="e">
        <f t="shared" ref="N46:N50" si="9">H46/K46</f>
        <v>#DIV/0!</v>
      </c>
    </row>
    <row r="47" spans="1:18" x14ac:dyDescent="0.25">
      <c r="A47" s="32">
        <v>3</v>
      </c>
      <c r="B47" s="33" t="s">
        <v>49</v>
      </c>
      <c r="C47" s="34">
        <v>13</v>
      </c>
      <c r="D47" s="35">
        <v>3</v>
      </c>
      <c r="E47" s="36">
        <f t="shared" si="7"/>
        <v>16</v>
      </c>
      <c r="F47" s="34">
        <v>24</v>
      </c>
      <c r="G47" s="35">
        <v>117.5</v>
      </c>
      <c r="H47" s="39">
        <v>5387433.5</v>
      </c>
      <c r="J47" s="106">
        <v>792</v>
      </c>
      <c r="K47" s="107">
        <v>40072688.219653182</v>
      </c>
      <c r="M47" s="42">
        <f t="shared" si="8"/>
        <v>0.14835858585858586</v>
      </c>
      <c r="N47" s="43">
        <f t="shared" si="9"/>
        <v>0.13444152961412248</v>
      </c>
    </row>
    <row r="48" spans="1:18" x14ac:dyDescent="0.25">
      <c r="A48" s="32">
        <v>4</v>
      </c>
      <c r="B48" s="33" t="s">
        <v>50</v>
      </c>
      <c r="C48" s="34">
        <v>14</v>
      </c>
      <c r="D48" s="35">
        <v>4</v>
      </c>
      <c r="E48" s="36">
        <f t="shared" si="7"/>
        <v>18</v>
      </c>
      <c r="F48" s="34">
        <v>8</v>
      </c>
      <c r="G48" s="35">
        <v>43</v>
      </c>
      <c r="H48" s="39">
        <v>2132729.5</v>
      </c>
      <c r="J48" s="106"/>
      <c r="K48" s="68"/>
      <c r="M48" s="42" t="e">
        <f t="shared" si="8"/>
        <v>#DIV/0!</v>
      </c>
      <c r="N48" s="254" t="e">
        <f t="shared" si="9"/>
        <v>#DIV/0!</v>
      </c>
      <c r="O48" s="110"/>
      <c r="P48" s="111"/>
      <c r="Q48" s="110"/>
      <c r="R48" s="111"/>
    </row>
    <row r="49" spans="1:18" x14ac:dyDescent="0.25">
      <c r="A49" s="32">
        <v>5</v>
      </c>
      <c r="B49" s="33" t="s">
        <v>51</v>
      </c>
      <c r="C49" s="34">
        <v>24</v>
      </c>
      <c r="D49" s="35">
        <v>6</v>
      </c>
      <c r="E49" s="36">
        <f t="shared" si="7"/>
        <v>30</v>
      </c>
      <c r="F49" s="34">
        <v>4</v>
      </c>
      <c r="G49" s="35">
        <v>37</v>
      </c>
      <c r="H49" s="39">
        <v>1820677</v>
      </c>
      <c r="J49" s="112"/>
      <c r="K49" s="113"/>
      <c r="M49" s="42" t="e">
        <f t="shared" si="8"/>
        <v>#DIV/0!</v>
      </c>
      <c r="N49" s="254" t="e">
        <f t="shared" si="9"/>
        <v>#DIV/0!</v>
      </c>
      <c r="O49" s="110"/>
      <c r="P49" s="111"/>
      <c r="Q49" s="110"/>
      <c r="R49" s="111"/>
    </row>
    <row r="50" spans="1:18" x14ac:dyDescent="0.25">
      <c r="A50" s="32">
        <v>6</v>
      </c>
      <c r="B50" s="33" t="s">
        <v>52</v>
      </c>
      <c r="C50" s="34">
        <v>17</v>
      </c>
      <c r="D50" s="35">
        <v>2</v>
      </c>
      <c r="E50" s="36">
        <f t="shared" si="7"/>
        <v>19</v>
      </c>
      <c r="F50" s="34">
        <v>2</v>
      </c>
      <c r="G50" s="35">
        <v>14</v>
      </c>
      <c r="H50" s="39">
        <v>651412</v>
      </c>
      <c r="J50" s="112"/>
      <c r="K50" s="113"/>
      <c r="M50" s="42" t="e">
        <f t="shared" si="8"/>
        <v>#DIV/0!</v>
      </c>
      <c r="N50" s="254" t="e">
        <f t="shared" si="9"/>
        <v>#DIV/0!</v>
      </c>
    </row>
    <row r="51" spans="1:18" ht="15.75" thickBot="1" x14ac:dyDescent="0.3">
      <c r="A51" s="75"/>
      <c r="B51" s="76"/>
      <c r="C51" s="45"/>
      <c r="D51" s="46"/>
      <c r="E51" s="77"/>
      <c r="F51" s="78"/>
      <c r="G51" s="79"/>
      <c r="H51" s="77"/>
      <c r="J51" s="115"/>
      <c r="K51" s="116"/>
      <c r="M51" s="83"/>
      <c r="N51" s="117"/>
    </row>
    <row r="52" spans="1:18" ht="15.75" thickBot="1" x14ac:dyDescent="0.3">
      <c r="A52" s="118"/>
      <c r="B52" s="119" t="s">
        <v>53</v>
      </c>
      <c r="C52" s="120">
        <f t="shared" ref="C52:H52" si="10">SUM(C45:C50)</f>
        <v>80</v>
      </c>
      <c r="D52" s="121">
        <f t="shared" si="10"/>
        <v>20</v>
      </c>
      <c r="E52" s="122">
        <f t="shared" si="10"/>
        <v>100</v>
      </c>
      <c r="F52" s="123">
        <f t="shared" si="10"/>
        <v>45</v>
      </c>
      <c r="G52" s="124">
        <f t="shared" si="10"/>
        <v>257</v>
      </c>
      <c r="H52" s="125">
        <f t="shared" si="10"/>
        <v>12432529.5</v>
      </c>
      <c r="J52" s="127">
        <f>SUM(J45:J51)</f>
        <v>792</v>
      </c>
      <c r="K52" s="127">
        <f>SUM(K45:K51)</f>
        <v>40072688.219653182</v>
      </c>
      <c r="M52" s="128">
        <f>G52/J52</f>
        <v>0.3244949494949495</v>
      </c>
      <c r="N52" s="129">
        <f>H52/K52</f>
        <v>0.31024945049487873</v>
      </c>
      <c r="O52" s="130" t="e">
        <f>#REF!+#REF!</f>
        <v>#REF!</v>
      </c>
      <c r="P52" s="130" t="e">
        <f>#REF!+#REF!</f>
        <v>#REF!</v>
      </c>
      <c r="Q52" s="130"/>
      <c r="R52" s="130"/>
    </row>
    <row r="53" spans="1:18" x14ac:dyDescent="0.25">
      <c r="A53" s="60"/>
      <c r="B53" s="98"/>
      <c r="C53" s="62"/>
      <c r="D53" s="63"/>
      <c r="E53" s="131"/>
      <c r="F53" s="99"/>
      <c r="G53" s="72"/>
      <c r="H53" s="64"/>
      <c r="J53" s="40"/>
      <c r="K53" s="103"/>
      <c r="M53" s="69"/>
      <c r="N53" s="70"/>
    </row>
    <row r="54" spans="1:18" x14ac:dyDescent="0.25">
      <c r="A54" s="32"/>
      <c r="B54" s="102"/>
      <c r="C54" s="34"/>
      <c r="D54" s="35"/>
      <c r="E54" s="64"/>
      <c r="F54" s="37"/>
      <c r="G54" s="134"/>
      <c r="H54" s="39"/>
      <c r="J54" s="40"/>
      <c r="K54" s="103"/>
      <c r="M54" s="42"/>
      <c r="N54" s="104"/>
    </row>
    <row r="55" spans="1:18" x14ac:dyDescent="0.25">
      <c r="A55" s="32"/>
      <c r="B55" s="105"/>
      <c r="C55" s="34"/>
      <c r="D55" s="35"/>
      <c r="E55" s="36"/>
      <c r="F55" s="34"/>
      <c r="G55" s="35"/>
      <c r="H55" s="39"/>
      <c r="J55" s="40"/>
      <c r="K55" s="103"/>
      <c r="M55" s="42"/>
      <c r="N55" s="104"/>
    </row>
    <row r="56" spans="1:18" x14ac:dyDescent="0.25">
      <c r="A56" s="32">
        <v>1</v>
      </c>
      <c r="B56" s="33" t="s">
        <v>54</v>
      </c>
      <c r="C56" s="34">
        <v>2</v>
      </c>
      <c r="D56" s="35">
        <v>3</v>
      </c>
      <c r="E56" s="36">
        <f t="shared" ref="E56:E62" si="11">C56+D56</f>
        <v>5</v>
      </c>
      <c r="F56" s="34">
        <v>9</v>
      </c>
      <c r="G56" s="35">
        <v>130.5</v>
      </c>
      <c r="H56" s="39">
        <v>6569458</v>
      </c>
      <c r="I56" s="48"/>
      <c r="J56" s="135">
        <v>160</v>
      </c>
      <c r="K56" s="136">
        <v>6769773.236994219</v>
      </c>
      <c r="L56" s="48"/>
      <c r="M56" s="42">
        <f>G56/J56</f>
        <v>0.81562500000000004</v>
      </c>
      <c r="N56" s="43">
        <f>H56/K56</f>
        <v>0.97041034758748301</v>
      </c>
    </row>
    <row r="57" spans="1:18" x14ac:dyDescent="0.25">
      <c r="A57" s="32">
        <f>A56+1</f>
        <v>2</v>
      </c>
      <c r="B57" s="44" t="s">
        <v>55</v>
      </c>
      <c r="C57" s="45">
        <v>0</v>
      </c>
      <c r="D57" s="46">
        <v>0</v>
      </c>
      <c r="E57" s="36">
        <f t="shared" si="11"/>
        <v>0</v>
      </c>
      <c r="F57" s="34">
        <v>0</v>
      </c>
      <c r="G57" s="35">
        <v>0</v>
      </c>
      <c r="H57" s="39">
        <v>0</v>
      </c>
      <c r="I57" s="48"/>
      <c r="J57" s="40"/>
      <c r="K57" s="103"/>
      <c r="L57" s="48"/>
      <c r="M57" s="42" t="e">
        <f t="shared" ref="M57:M62" si="12">G57/J57</f>
        <v>#DIV/0!</v>
      </c>
      <c r="N57" s="43" t="e">
        <f t="shared" ref="N57:N62" si="13">H57/K57</f>
        <v>#DIV/0!</v>
      </c>
    </row>
    <row r="58" spans="1:18" x14ac:dyDescent="0.25">
      <c r="A58" s="32">
        <f>A57+1</f>
        <v>3</v>
      </c>
      <c r="B58" s="33" t="s">
        <v>56</v>
      </c>
      <c r="C58" s="34">
        <v>7</v>
      </c>
      <c r="D58" s="35">
        <v>0</v>
      </c>
      <c r="E58" s="36">
        <f t="shared" si="11"/>
        <v>7</v>
      </c>
      <c r="F58" s="34">
        <v>6</v>
      </c>
      <c r="G58" s="35">
        <v>38.5</v>
      </c>
      <c r="H58" s="39">
        <v>1979018</v>
      </c>
      <c r="I58" s="48"/>
      <c r="J58" s="40"/>
      <c r="K58" s="103"/>
      <c r="L58" s="48"/>
      <c r="M58" s="42" t="e">
        <f t="shared" si="12"/>
        <v>#DIV/0!</v>
      </c>
      <c r="N58" s="43" t="e">
        <f t="shared" si="13"/>
        <v>#DIV/0!</v>
      </c>
    </row>
    <row r="59" spans="1:18" x14ac:dyDescent="0.25">
      <c r="A59" s="32">
        <f>A58+1</f>
        <v>4</v>
      </c>
      <c r="B59" s="33" t="s">
        <v>57</v>
      </c>
      <c r="C59" s="34">
        <v>9</v>
      </c>
      <c r="D59" s="35">
        <v>6</v>
      </c>
      <c r="E59" s="36">
        <f t="shared" si="11"/>
        <v>15</v>
      </c>
      <c r="F59" s="34">
        <v>50</v>
      </c>
      <c r="G59" s="35">
        <v>404.5</v>
      </c>
      <c r="H59" s="39">
        <v>19290211</v>
      </c>
      <c r="J59" s="40">
        <v>850</v>
      </c>
      <c r="K59" s="103">
        <v>35184424.9132948</v>
      </c>
      <c r="M59" s="42">
        <f t="shared" si="12"/>
        <v>0.47588235294117648</v>
      </c>
      <c r="N59" s="43">
        <f t="shared" si="13"/>
        <v>0.54825994875678619</v>
      </c>
    </row>
    <row r="60" spans="1:18" x14ac:dyDescent="0.25">
      <c r="A60" s="32">
        <f>A59+1</f>
        <v>5</v>
      </c>
      <c r="B60" s="33" t="s">
        <v>58</v>
      </c>
      <c r="C60" s="34">
        <v>2</v>
      </c>
      <c r="D60" s="35">
        <v>0</v>
      </c>
      <c r="E60" s="36">
        <f t="shared" si="11"/>
        <v>2</v>
      </c>
      <c r="F60" s="34">
        <v>0</v>
      </c>
      <c r="G60" s="35">
        <v>0</v>
      </c>
      <c r="H60" s="39">
        <v>0</v>
      </c>
      <c r="I60" s="48"/>
      <c r="J60" s="40"/>
      <c r="K60" s="41"/>
      <c r="L60" s="48"/>
      <c r="M60" s="42" t="e">
        <f t="shared" si="12"/>
        <v>#DIV/0!</v>
      </c>
      <c r="N60" s="43" t="e">
        <f t="shared" si="13"/>
        <v>#DIV/0!</v>
      </c>
    </row>
    <row r="61" spans="1:18" x14ac:dyDescent="0.25">
      <c r="A61" s="75">
        <f>A60+1</f>
        <v>6</v>
      </c>
      <c r="B61" s="44" t="s">
        <v>59</v>
      </c>
      <c r="C61" s="45">
        <v>2</v>
      </c>
      <c r="D61" s="46">
        <v>0</v>
      </c>
      <c r="E61" s="36">
        <f t="shared" si="11"/>
        <v>2</v>
      </c>
      <c r="F61" s="34">
        <v>0</v>
      </c>
      <c r="G61" s="35">
        <v>0</v>
      </c>
      <c r="H61" s="39">
        <v>0</v>
      </c>
      <c r="I61" s="48"/>
      <c r="J61" s="137">
        <v>12</v>
      </c>
      <c r="K61" s="55">
        <v>485318.73410404625</v>
      </c>
      <c r="L61" s="48"/>
      <c r="M61" s="42">
        <f t="shared" si="12"/>
        <v>0</v>
      </c>
      <c r="N61" s="43">
        <f t="shared" si="13"/>
        <v>0</v>
      </c>
    </row>
    <row r="62" spans="1:18" x14ac:dyDescent="0.25">
      <c r="A62" s="32">
        <v>7</v>
      </c>
      <c r="B62" s="33" t="s">
        <v>60</v>
      </c>
      <c r="C62" s="34">
        <v>3</v>
      </c>
      <c r="D62" s="35">
        <v>1</v>
      </c>
      <c r="E62" s="36">
        <f t="shared" si="11"/>
        <v>4</v>
      </c>
      <c r="F62" s="34">
        <v>1</v>
      </c>
      <c r="G62" s="35">
        <v>16</v>
      </c>
      <c r="H62" s="39">
        <v>907000</v>
      </c>
      <c r="J62" s="138"/>
      <c r="K62" s="139"/>
      <c r="M62" s="42" t="e">
        <f t="shared" si="12"/>
        <v>#DIV/0!</v>
      </c>
      <c r="N62" s="43" t="e">
        <f t="shared" si="13"/>
        <v>#DIV/0!</v>
      </c>
    </row>
    <row r="63" spans="1:18" ht="15.75" thickBot="1" x14ac:dyDescent="0.3">
      <c r="A63" s="32"/>
      <c r="B63" s="33"/>
      <c r="C63" s="34"/>
      <c r="D63" s="35"/>
      <c r="E63" s="36"/>
      <c r="F63" s="37"/>
      <c r="G63" s="79"/>
      <c r="H63" s="77"/>
      <c r="J63" s="138"/>
      <c r="K63" s="139"/>
      <c r="M63" s="42"/>
      <c r="N63" s="43"/>
    </row>
    <row r="64" spans="1:18" ht="15.75" thickBot="1" x14ac:dyDescent="0.3">
      <c r="A64" s="140"/>
      <c r="B64" s="141" t="s">
        <v>61</v>
      </c>
      <c r="C64" s="142">
        <f>SUM(C56:C62)</f>
        <v>25</v>
      </c>
      <c r="D64" s="143">
        <f>SUM(D56:D62)</f>
        <v>10</v>
      </c>
      <c r="E64" s="143">
        <f>SUM(E56:E62)</f>
        <v>35</v>
      </c>
      <c r="F64" s="144">
        <f t="shared" ref="F64:K64" si="14">SUM(F56:F62)</f>
        <v>66</v>
      </c>
      <c r="G64" s="145">
        <f t="shared" si="14"/>
        <v>589.5</v>
      </c>
      <c r="H64" s="146">
        <f t="shared" si="14"/>
        <v>28745687</v>
      </c>
      <c r="I64" s="148">
        <f t="shared" si="14"/>
        <v>0</v>
      </c>
      <c r="J64" s="147">
        <f t="shared" si="14"/>
        <v>1022</v>
      </c>
      <c r="K64" s="147">
        <f t="shared" si="14"/>
        <v>42439516.884393066</v>
      </c>
      <c r="M64" s="149">
        <f>G64/J64</f>
        <v>0.57681017612524466</v>
      </c>
      <c r="N64" s="150">
        <f>H64/K64</f>
        <v>0.6773330402960146</v>
      </c>
    </row>
    <row r="65" spans="1:14" x14ac:dyDescent="0.25">
      <c r="A65" s="60"/>
      <c r="B65" s="98"/>
      <c r="C65" s="62"/>
      <c r="D65" s="63"/>
      <c r="E65" s="64"/>
      <c r="F65" s="99"/>
      <c r="G65" s="72"/>
      <c r="H65" s="64"/>
      <c r="J65" s="40"/>
      <c r="K65" s="103"/>
      <c r="M65" s="69"/>
      <c r="N65" s="70"/>
    </row>
    <row r="66" spans="1:14" x14ac:dyDescent="0.25">
      <c r="A66" s="32"/>
      <c r="B66" s="102"/>
      <c r="C66" s="34"/>
      <c r="D66" s="35"/>
      <c r="E66" s="36"/>
      <c r="F66" s="37"/>
      <c r="G66" s="134"/>
      <c r="H66" s="39"/>
      <c r="J66" s="40"/>
      <c r="K66" s="103"/>
      <c r="M66" s="42"/>
      <c r="N66" s="104"/>
    </row>
    <row r="67" spans="1:14" x14ac:dyDescent="0.25">
      <c r="A67" s="32"/>
      <c r="B67" s="105"/>
      <c r="C67" s="34"/>
      <c r="D67" s="35"/>
      <c r="E67" s="36"/>
      <c r="F67" s="37"/>
      <c r="G67" s="134"/>
      <c r="H67" s="39"/>
      <c r="J67" s="40"/>
      <c r="K67" s="103"/>
      <c r="M67" s="42"/>
      <c r="N67" s="104"/>
    </row>
    <row r="68" spans="1:14" x14ac:dyDescent="0.25">
      <c r="A68" s="32">
        <v>1</v>
      </c>
      <c r="B68" s="33" t="s">
        <v>62</v>
      </c>
      <c r="C68" s="34">
        <v>6</v>
      </c>
      <c r="D68" s="35">
        <v>0</v>
      </c>
      <c r="E68" s="36">
        <f t="shared" ref="E68:E73" si="15">C68+D68</f>
        <v>6</v>
      </c>
      <c r="F68" s="34">
        <v>10</v>
      </c>
      <c r="G68" s="35">
        <v>102.5</v>
      </c>
      <c r="H68" s="39">
        <v>5378557</v>
      </c>
      <c r="J68" s="112">
        <v>134</v>
      </c>
      <c r="K68" s="113">
        <v>7094522.1156069357</v>
      </c>
      <c r="M68" s="42">
        <f>G68/J68</f>
        <v>0.7649253731343284</v>
      </c>
      <c r="N68" s="43">
        <f>H68/K68</f>
        <v>0.75812816034048902</v>
      </c>
    </row>
    <row r="69" spans="1:14" x14ac:dyDescent="0.25">
      <c r="A69" s="32">
        <f>A68+1</f>
        <v>2</v>
      </c>
      <c r="B69" s="33" t="s">
        <v>63</v>
      </c>
      <c r="C69" s="34">
        <v>3</v>
      </c>
      <c r="D69" s="35">
        <v>0</v>
      </c>
      <c r="E69" s="36">
        <f t="shared" si="15"/>
        <v>3</v>
      </c>
      <c r="F69" s="34">
        <v>5</v>
      </c>
      <c r="G69" s="35">
        <v>45</v>
      </c>
      <c r="H69" s="39">
        <v>2305974</v>
      </c>
      <c r="J69" s="112"/>
      <c r="K69" s="113"/>
      <c r="M69" s="42" t="e">
        <f t="shared" ref="M69:M82" si="16">G69/J69</f>
        <v>#DIV/0!</v>
      </c>
      <c r="N69" s="43" t="e">
        <f t="shared" ref="N69:N82" si="17">H69/K69</f>
        <v>#DIV/0!</v>
      </c>
    </row>
    <row r="70" spans="1:14" x14ac:dyDescent="0.25">
      <c r="A70" s="32">
        <f>A69+1</f>
        <v>3</v>
      </c>
      <c r="B70" s="33" t="s">
        <v>64</v>
      </c>
      <c r="C70" s="34">
        <v>4</v>
      </c>
      <c r="D70" s="35">
        <v>0</v>
      </c>
      <c r="E70" s="36">
        <f t="shared" si="15"/>
        <v>4</v>
      </c>
      <c r="F70" s="34">
        <v>1</v>
      </c>
      <c r="G70" s="35">
        <v>3.5</v>
      </c>
      <c r="H70" s="39">
        <v>176195</v>
      </c>
      <c r="J70" s="112"/>
      <c r="K70" s="113"/>
      <c r="M70" s="42" t="e">
        <f t="shared" si="16"/>
        <v>#DIV/0!</v>
      </c>
      <c r="N70" s="43" t="e">
        <f t="shared" si="17"/>
        <v>#DIV/0!</v>
      </c>
    </row>
    <row r="71" spans="1:14" x14ac:dyDescent="0.25">
      <c r="A71" s="32">
        <f>A70+1</f>
        <v>4</v>
      </c>
      <c r="B71" s="33" t="s">
        <v>65</v>
      </c>
      <c r="C71" s="34">
        <v>5</v>
      </c>
      <c r="D71" s="35">
        <v>2</v>
      </c>
      <c r="E71" s="36">
        <f t="shared" si="15"/>
        <v>7</v>
      </c>
      <c r="F71" s="34">
        <v>1</v>
      </c>
      <c r="G71" s="35">
        <v>1.5</v>
      </c>
      <c r="H71" s="39">
        <v>62572</v>
      </c>
      <c r="J71" s="112">
        <v>30</v>
      </c>
      <c r="K71" s="113">
        <v>1403417.2716763006</v>
      </c>
      <c r="M71" s="42">
        <f t="shared" si="16"/>
        <v>0.05</v>
      </c>
      <c r="N71" s="43">
        <f t="shared" si="17"/>
        <v>4.4585456701171547E-2</v>
      </c>
    </row>
    <row r="72" spans="1:14" x14ac:dyDescent="0.25">
      <c r="A72" s="32">
        <f>A71+1</f>
        <v>5</v>
      </c>
      <c r="B72" s="33" t="s">
        <v>66</v>
      </c>
      <c r="C72" s="34">
        <v>2</v>
      </c>
      <c r="D72" s="35">
        <v>0</v>
      </c>
      <c r="E72" s="36">
        <f t="shared" si="15"/>
        <v>2</v>
      </c>
      <c r="F72" s="34">
        <v>2</v>
      </c>
      <c r="G72" s="35">
        <v>7</v>
      </c>
      <c r="H72" s="39">
        <v>349027.5</v>
      </c>
      <c r="I72" s="48"/>
      <c r="J72" s="40"/>
      <c r="K72" s="103"/>
      <c r="L72" s="48"/>
      <c r="M72" s="42" t="e">
        <f t="shared" si="16"/>
        <v>#DIV/0!</v>
      </c>
      <c r="N72" s="43" t="e">
        <f t="shared" si="17"/>
        <v>#DIV/0!</v>
      </c>
    </row>
    <row r="73" spans="1:14" x14ac:dyDescent="0.25">
      <c r="A73" s="32">
        <f>A72+1</f>
        <v>6</v>
      </c>
      <c r="B73" s="33" t="s">
        <v>67</v>
      </c>
      <c r="C73" s="34">
        <v>9</v>
      </c>
      <c r="D73" s="35">
        <v>2</v>
      </c>
      <c r="E73" s="36">
        <f t="shared" si="15"/>
        <v>11</v>
      </c>
      <c r="F73" s="34">
        <v>0</v>
      </c>
      <c r="G73" s="35">
        <v>0</v>
      </c>
      <c r="H73" s="39">
        <v>0</v>
      </c>
      <c r="J73" s="135">
        <v>330</v>
      </c>
      <c r="K73" s="136">
        <v>13341525.699421965</v>
      </c>
      <c r="M73" s="42">
        <f t="shared" si="16"/>
        <v>0</v>
      </c>
      <c r="N73" s="43">
        <f t="shared" si="17"/>
        <v>0</v>
      </c>
    </row>
    <row r="74" spans="1:14" s="48" customFormat="1" x14ac:dyDescent="0.25">
      <c r="A74" s="51"/>
      <c r="B74" s="57" t="s">
        <v>68</v>
      </c>
      <c r="C74" s="53"/>
      <c r="D74" s="54"/>
      <c r="E74" s="55"/>
      <c r="F74" s="53">
        <v>0</v>
      </c>
      <c r="G74" s="54">
        <v>0</v>
      </c>
      <c r="H74" s="56">
        <v>0</v>
      </c>
      <c r="J74" s="40"/>
      <c r="K74" s="103"/>
      <c r="M74" s="42" t="e">
        <f t="shared" si="16"/>
        <v>#DIV/0!</v>
      </c>
      <c r="N74" s="43" t="e">
        <f t="shared" si="17"/>
        <v>#DIV/0!</v>
      </c>
    </row>
    <row r="75" spans="1:14" x14ac:dyDescent="0.25">
      <c r="A75" s="32"/>
      <c r="B75" s="57" t="s">
        <v>69</v>
      </c>
      <c r="C75" s="34"/>
      <c r="D75" s="35"/>
      <c r="E75" s="36"/>
      <c r="F75" s="34">
        <v>7</v>
      </c>
      <c r="G75" s="35">
        <v>56</v>
      </c>
      <c r="H75" s="39">
        <v>2983203</v>
      </c>
      <c r="J75" s="40"/>
      <c r="K75" s="103"/>
      <c r="M75" s="42" t="e">
        <f t="shared" si="16"/>
        <v>#DIV/0!</v>
      </c>
      <c r="N75" s="43" t="e">
        <f t="shared" si="17"/>
        <v>#DIV/0!</v>
      </c>
    </row>
    <row r="76" spans="1:14" x14ac:dyDescent="0.25">
      <c r="A76" s="32">
        <v>7</v>
      </c>
      <c r="B76" s="33" t="s">
        <v>70</v>
      </c>
      <c r="C76" s="34">
        <v>0</v>
      </c>
      <c r="D76" s="35">
        <v>0</v>
      </c>
      <c r="E76" s="36">
        <f>C76+D76</f>
        <v>0</v>
      </c>
      <c r="F76" s="34">
        <v>0</v>
      </c>
      <c r="G76" s="35">
        <v>0</v>
      </c>
      <c r="H76" s="39">
        <v>0</v>
      </c>
      <c r="J76" s="40"/>
      <c r="K76" s="103"/>
      <c r="M76" s="42" t="e">
        <f t="shared" si="16"/>
        <v>#DIV/0!</v>
      </c>
      <c r="N76" s="43" t="e">
        <f t="shared" si="17"/>
        <v>#DIV/0!</v>
      </c>
    </row>
    <row r="77" spans="1:14" x14ac:dyDescent="0.25">
      <c r="A77" s="32">
        <f>A76+1</f>
        <v>8</v>
      </c>
      <c r="B77" s="33" t="s">
        <v>71</v>
      </c>
      <c r="C77" s="34">
        <v>3</v>
      </c>
      <c r="D77" s="35">
        <v>0</v>
      </c>
      <c r="E77" s="36">
        <f>C77+D77</f>
        <v>3</v>
      </c>
      <c r="F77" s="34">
        <v>0</v>
      </c>
      <c r="G77" s="35">
        <v>0</v>
      </c>
      <c r="H77" s="39">
        <v>0</v>
      </c>
      <c r="J77" s="112"/>
      <c r="K77" s="113"/>
      <c r="M77" s="42" t="e">
        <f t="shared" si="16"/>
        <v>#DIV/0!</v>
      </c>
      <c r="N77" s="43" t="e">
        <f t="shared" si="17"/>
        <v>#DIV/0!</v>
      </c>
    </row>
    <row r="78" spans="1:14" x14ac:dyDescent="0.25">
      <c r="A78" s="32">
        <f>A77+1</f>
        <v>9</v>
      </c>
      <c r="B78" s="33" t="s">
        <v>72</v>
      </c>
      <c r="C78" s="34">
        <v>4</v>
      </c>
      <c r="D78" s="35">
        <v>1</v>
      </c>
      <c r="E78" s="36">
        <f>C78+D78</f>
        <v>5</v>
      </c>
      <c r="F78" s="34">
        <v>3</v>
      </c>
      <c r="G78" s="35">
        <v>21</v>
      </c>
      <c r="H78" s="39">
        <v>1057070</v>
      </c>
      <c r="J78" s="112">
        <v>35</v>
      </c>
      <c r="K78" s="113">
        <v>1745620.1849710983</v>
      </c>
      <c r="M78" s="42">
        <f t="shared" si="16"/>
        <v>0.6</v>
      </c>
      <c r="N78" s="43">
        <f t="shared" si="17"/>
        <v>0.60555555504045777</v>
      </c>
    </row>
    <row r="79" spans="1:14" s="48" customFormat="1" x14ac:dyDescent="0.25">
      <c r="A79" s="51">
        <f>A78+1</f>
        <v>10</v>
      </c>
      <c r="B79" s="154" t="s">
        <v>73</v>
      </c>
      <c r="C79" s="53">
        <v>5</v>
      </c>
      <c r="D79" s="54">
        <v>1</v>
      </c>
      <c r="E79" s="55">
        <f>C79+D79</f>
        <v>6</v>
      </c>
      <c r="F79" s="53">
        <v>0</v>
      </c>
      <c r="G79" s="54">
        <v>0</v>
      </c>
      <c r="H79" s="56">
        <v>0</v>
      </c>
      <c r="J79" s="112">
        <v>528</v>
      </c>
      <c r="K79" s="113">
        <v>20198726.289017342</v>
      </c>
      <c r="M79" s="42">
        <f t="shared" si="16"/>
        <v>0</v>
      </c>
      <c r="N79" s="43">
        <f t="shared" si="17"/>
        <v>0</v>
      </c>
    </row>
    <row r="80" spans="1:14" s="48" customFormat="1" x14ac:dyDescent="0.25">
      <c r="A80" s="51"/>
      <c r="B80" s="154" t="s">
        <v>74</v>
      </c>
      <c r="C80" s="53"/>
      <c r="D80" s="54"/>
      <c r="E80" s="55"/>
      <c r="F80" s="53">
        <v>23</v>
      </c>
      <c r="G80" s="54">
        <v>315.5</v>
      </c>
      <c r="H80" s="56">
        <v>15438472.5</v>
      </c>
      <c r="J80" s="112"/>
      <c r="K80" s="113"/>
      <c r="M80" s="42" t="e">
        <f t="shared" si="16"/>
        <v>#DIV/0!</v>
      </c>
      <c r="N80" s="43" t="e">
        <f t="shared" si="17"/>
        <v>#DIV/0!</v>
      </c>
    </row>
    <row r="81" spans="1:14" s="48" customFormat="1" x14ac:dyDescent="0.25">
      <c r="A81" s="51"/>
      <c r="B81" s="156" t="s">
        <v>75</v>
      </c>
      <c r="C81" s="157"/>
      <c r="D81" s="158"/>
      <c r="E81" s="55"/>
      <c r="F81" s="53">
        <v>3</v>
      </c>
      <c r="G81" s="54">
        <v>38</v>
      </c>
      <c r="H81" s="56">
        <v>2266350.6531791906</v>
      </c>
      <c r="J81" s="112"/>
      <c r="K81" s="113"/>
      <c r="M81" s="42" t="e">
        <f t="shared" si="16"/>
        <v>#DIV/0!</v>
      </c>
      <c r="N81" s="43" t="e">
        <f t="shared" si="17"/>
        <v>#DIV/0!</v>
      </c>
    </row>
    <row r="82" spans="1:14" x14ac:dyDescent="0.25">
      <c r="A82" s="32">
        <f>A79+1</f>
        <v>11</v>
      </c>
      <c r="B82" s="33" t="s">
        <v>76</v>
      </c>
      <c r="C82" s="53">
        <v>0</v>
      </c>
      <c r="D82" s="54">
        <v>0</v>
      </c>
      <c r="E82" s="36">
        <f>C82+D82</f>
        <v>0</v>
      </c>
      <c r="F82" s="34">
        <v>0</v>
      </c>
      <c r="G82" s="35">
        <v>0</v>
      </c>
      <c r="H82" s="39">
        <v>0</v>
      </c>
      <c r="J82" s="112"/>
      <c r="K82" s="113"/>
      <c r="M82" s="42" t="e">
        <f t="shared" si="16"/>
        <v>#DIV/0!</v>
      </c>
      <c r="N82" s="43" t="e">
        <f t="shared" si="17"/>
        <v>#DIV/0!</v>
      </c>
    </row>
    <row r="83" spans="1:14" ht="15.75" thickBot="1" x14ac:dyDescent="0.3">
      <c r="A83" s="159"/>
      <c r="B83" s="76"/>
      <c r="C83" s="45"/>
      <c r="D83" s="46"/>
      <c r="E83" s="77"/>
      <c r="F83" s="78"/>
      <c r="G83" s="46"/>
      <c r="H83" s="77"/>
      <c r="J83" s="137"/>
      <c r="K83" s="116"/>
      <c r="M83" s="83"/>
      <c r="N83" s="117"/>
    </row>
    <row r="84" spans="1:14" ht="15.75" thickBot="1" x14ac:dyDescent="0.3">
      <c r="A84" s="160"/>
      <c r="B84" s="161" t="s">
        <v>77</v>
      </c>
      <c r="C84" s="162">
        <f t="shared" ref="C84:H84" si="18">SUM(C67:C82)</f>
        <v>41</v>
      </c>
      <c r="D84" s="163">
        <f t="shared" si="18"/>
        <v>6</v>
      </c>
      <c r="E84" s="164">
        <f t="shared" si="18"/>
        <v>47</v>
      </c>
      <c r="F84" s="165">
        <f t="shared" si="18"/>
        <v>55</v>
      </c>
      <c r="G84" s="166">
        <f t="shared" si="18"/>
        <v>590</v>
      </c>
      <c r="H84" s="167">
        <f t="shared" si="18"/>
        <v>30017421.653179191</v>
      </c>
      <c r="J84" s="169">
        <f>SUM(J67:J83)</f>
        <v>1057</v>
      </c>
      <c r="K84" s="170">
        <f>SUM(K67:K83)</f>
        <v>43783811.560693637</v>
      </c>
      <c r="M84" s="171">
        <f>G84/J84</f>
        <v>0.55818353831598866</v>
      </c>
      <c r="N84" s="172">
        <f>H84/K84</f>
        <v>0.68558265219940218</v>
      </c>
    </row>
    <row r="85" spans="1:14" x14ac:dyDescent="0.25">
      <c r="A85" s="173"/>
      <c r="B85" s="98"/>
      <c r="C85" s="62"/>
      <c r="D85" s="63"/>
      <c r="E85" s="100"/>
      <c r="F85" s="99"/>
      <c r="G85" s="72"/>
      <c r="H85" s="64"/>
      <c r="J85" s="175"/>
      <c r="K85" s="176"/>
      <c r="M85" s="177"/>
      <c r="N85" s="178"/>
    </row>
    <row r="86" spans="1:14" x14ac:dyDescent="0.25">
      <c r="A86" s="179"/>
      <c r="B86" s="102"/>
      <c r="C86" s="180"/>
      <c r="D86" s="181"/>
      <c r="E86" s="182"/>
      <c r="F86" s="151"/>
      <c r="G86" s="72"/>
      <c r="H86" s="72"/>
      <c r="J86" s="99"/>
      <c r="K86" s="174"/>
      <c r="M86" s="177"/>
      <c r="N86" s="178"/>
    </row>
    <row r="87" spans="1:14" x14ac:dyDescent="0.25">
      <c r="A87" s="179"/>
      <c r="B87" s="185"/>
      <c r="C87" s="34"/>
      <c r="D87" s="35"/>
      <c r="E87" s="39"/>
      <c r="F87" s="133"/>
      <c r="G87" s="38"/>
      <c r="H87" s="38"/>
      <c r="J87" s="186"/>
      <c r="K87" s="152"/>
      <c r="M87" s="42"/>
      <c r="N87" s="43"/>
    </row>
    <row r="88" spans="1:14" ht="15.75" thickBot="1" x14ac:dyDescent="0.3">
      <c r="A88" s="187"/>
      <c r="B88" s="188"/>
      <c r="C88" s="189"/>
      <c r="D88" s="190"/>
      <c r="E88" s="191"/>
      <c r="F88" s="192"/>
      <c r="G88" s="190"/>
      <c r="H88" s="191"/>
      <c r="J88" s="194"/>
      <c r="K88" s="195"/>
      <c r="M88" s="196"/>
      <c r="N88" s="197"/>
    </row>
    <row r="89" spans="1:14" ht="15.75" thickBot="1" x14ac:dyDescent="0.3">
      <c r="A89" s="198"/>
      <c r="B89" s="199" t="s">
        <v>78</v>
      </c>
      <c r="C89" s="200">
        <f t="shared" ref="C89:H89" si="19">C84+C64+C52+C41</f>
        <v>314</v>
      </c>
      <c r="D89" s="200">
        <f t="shared" si="19"/>
        <v>131</v>
      </c>
      <c r="E89" s="200">
        <f t="shared" si="19"/>
        <v>444</v>
      </c>
      <c r="F89" s="200">
        <f t="shared" si="19"/>
        <v>273</v>
      </c>
      <c r="G89" s="200">
        <f t="shared" si="19"/>
        <v>2348</v>
      </c>
      <c r="H89" s="200">
        <f t="shared" si="19"/>
        <v>113074046.1531792</v>
      </c>
      <c r="J89" s="200">
        <f>J84+J64+J52+J41</f>
        <v>3755</v>
      </c>
      <c r="K89" s="200">
        <f>K84+K64+K52+K41</f>
        <v>170031595.64739883</v>
      </c>
      <c r="M89" s="202">
        <f>G89/J89</f>
        <v>0.62529960053262312</v>
      </c>
      <c r="N89" s="203">
        <f>H89/K89</f>
        <v>0.66501784990399826</v>
      </c>
    </row>
    <row r="90" spans="1:14" x14ac:dyDescent="0.25">
      <c r="G90" s="110"/>
      <c r="H90" s="111"/>
      <c r="J90" s="110"/>
      <c r="K90" s="110"/>
      <c r="M90" s="207"/>
      <c r="N90" s="207"/>
    </row>
    <row r="91" spans="1:14" x14ac:dyDescent="0.25">
      <c r="C91" s="208"/>
      <c r="D91" s="209"/>
      <c r="E91" s="209"/>
      <c r="G91" s="110"/>
      <c r="H91" s="110"/>
      <c r="J91" s="110"/>
      <c r="K91" s="110"/>
      <c r="M91" s="207"/>
      <c r="N91" s="207"/>
    </row>
    <row r="92" spans="1:14" ht="15.75" thickBot="1" x14ac:dyDescent="0.3">
      <c r="B92" s="210"/>
      <c r="C92" s="208"/>
      <c r="D92" s="209"/>
      <c r="E92" s="209"/>
      <c r="M92" s="207"/>
      <c r="N92" s="207"/>
    </row>
    <row r="93" spans="1:14" ht="30.75" thickBot="1" x14ac:dyDescent="0.3">
      <c r="B93" s="210"/>
      <c r="C93" s="212" t="s">
        <v>79</v>
      </c>
      <c r="D93" s="213"/>
      <c r="E93" s="213"/>
      <c r="F93" s="243"/>
      <c r="G93" s="214" t="s">
        <v>80</v>
      </c>
      <c r="H93" s="215" t="s">
        <v>81</v>
      </c>
      <c r="J93" s="330" t="str">
        <f>J5</f>
        <v>BUDGET JANUARI</v>
      </c>
      <c r="K93" s="331"/>
      <c r="M93" s="332" t="s">
        <v>5</v>
      </c>
      <c r="N93" s="333"/>
    </row>
    <row r="94" spans="1:14" ht="15.75" thickBot="1" x14ac:dyDescent="0.3">
      <c r="B94" s="209"/>
      <c r="C94" s="216" t="s">
        <v>82</v>
      </c>
      <c r="D94" s="217"/>
      <c r="E94" s="217"/>
      <c r="F94" s="244"/>
      <c r="G94" s="218">
        <f>G41+G52</f>
        <v>1168.5</v>
      </c>
      <c r="H94" s="218">
        <f>H41+H52</f>
        <v>54310937.5</v>
      </c>
      <c r="J94" s="219">
        <f>J41+J52</f>
        <v>1676</v>
      </c>
      <c r="K94" s="219">
        <f>K41+K52</f>
        <v>83808267.202312142</v>
      </c>
      <c r="M94" s="220">
        <f>G94/J94</f>
        <v>0.69719570405727926</v>
      </c>
      <c r="N94" s="221">
        <f>H94/K94</f>
        <v>0.64803794796155434</v>
      </c>
    </row>
    <row r="95" spans="1:14" ht="15.75" thickBot="1" x14ac:dyDescent="0.3">
      <c r="B95" s="209"/>
      <c r="C95" s="216" t="s">
        <v>83</v>
      </c>
      <c r="D95" s="217"/>
      <c r="E95" s="217"/>
      <c r="F95" s="244"/>
      <c r="G95" s="222">
        <f>G64</f>
        <v>589.5</v>
      </c>
      <c r="H95" s="223">
        <f>H64</f>
        <v>28745687</v>
      </c>
      <c r="J95" s="224">
        <f>J64</f>
        <v>1022</v>
      </c>
      <c r="K95" s="224">
        <f>K64</f>
        <v>42439516.884393066</v>
      </c>
      <c r="M95" s="220">
        <f t="shared" ref="M95:M96" si="20">G95/J95</f>
        <v>0.57681017612524466</v>
      </c>
      <c r="N95" s="221">
        <f t="shared" ref="N95:N96" si="21">H95/K95</f>
        <v>0.6773330402960146</v>
      </c>
    </row>
    <row r="96" spans="1:14" ht="15.75" thickBot="1" x14ac:dyDescent="0.3">
      <c r="B96" s="209"/>
      <c r="C96" s="216" t="s">
        <v>84</v>
      </c>
      <c r="D96" s="217"/>
      <c r="E96" s="217"/>
      <c r="F96" s="244"/>
      <c r="G96" s="227">
        <f>G84</f>
        <v>590</v>
      </c>
      <c r="H96" s="228">
        <f>H84</f>
        <v>30017421.653179191</v>
      </c>
      <c r="J96" s="229">
        <f>J84</f>
        <v>1057</v>
      </c>
      <c r="K96" s="230">
        <f>K84</f>
        <v>43783811.560693637</v>
      </c>
      <c r="M96" s="220">
        <f t="shared" si="20"/>
        <v>0.55818353831598866</v>
      </c>
      <c r="N96" s="221">
        <f t="shared" si="21"/>
        <v>0.68558265219940218</v>
      </c>
    </row>
    <row r="97" spans="2:14" ht="15.75" thickBot="1" x14ac:dyDescent="0.3">
      <c r="C97" s="233" t="s">
        <v>78</v>
      </c>
      <c r="D97" s="234"/>
      <c r="E97" s="234"/>
      <c r="F97" s="245"/>
      <c r="G97" s="235">
        <f>SUM(G94:G96)</f>
        <v>2348</v>
      </c>
      <c r="H97" s="236">
        <f>SUM(H94:H96)</f>
        <v>113074046.1531792</v>
      </c>
      <c r="J97" s="237">
        <f>SUM(J94:J96)</f>
        <v>3755</v>
      </c>
      <c r="K97" s="238">
        <f>SUM(K94:K96)</f>
        <v>170031595.64739883</v>
      </c>
      <c r="M97" s="256">
        <f>G97/J97</f>
        <v>0.62529960053262312</v>
      </c>
      <c r="N97" s="257">
        <f>H97/K97</f>
        <v>0.66501784990399826</v>
      </c>
    </row>
    <row r="98" spans="2:14" x14ac:dyDescent="0.25">
      <c r="C98" s="208"/>
      <c r="D98" s="209"/>
      <c r="E98" s="209"/>
      <c r="F98" s="209"/>
      <c r="G98" s="209"/>
      <c r="H98" s="209"/>
      <c r="I98" s="241"/>
      <c r="J98" s="241"/>
      <c r="K98" s="241"/>
    </row>
    <row r="99" spans="2:14" x14ac:dyDescent="0.25">
      <c r="J99" s="242"/>
      <c r="K99" s="242"/>
    </row>
    <row r="101" spans="2:14" x14ac:dyDescent="0.25">
      <c r="B101" s="47"/>
    </row>
    <row r="102" spans="2:14" x14ac:dyDescent="0.25">
      <c r="B102" s="47"/>
    </row>
    <row r="103" spans="2:14" x14ac:dyDescent="0.25">
      <c r="B103" s="47"/>
    </row>
    <row r="104" spans="2:14" x14ac:dyDescent="0.25">
      <c r="B104" s="47"/>
    </row>
  </sheetData>
  <mergeCells count="6">
    <mergeCell ref="C5:E5"/>
    <mergeCell ref="M5:N5"/>
    <mergeCell ref="J93:K93"/>
    <mergeCell ref="M93:N93"/>
    <mergeCell ref="F5:H5"/>
    <mergeCell ref="J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04"/>
  <sheetViews>
    <sheetView topLeftCell="A72" workbookViewId="0">
      <selection activeCell="K101" sqref="K101"/>
    </sheetView>
  </sheetViews>
  <sheetFormatPr defaultRowHeight="15" x14ac:dyDescent="0.25"/>
  <cols>
    <col min="1" max="1" width="7.140625" customWidth="1"/>
    <col min="2" max="2" width="39.42578125" customWidth="1"/>
    <col min="3" max="3" width="6.7109375" customWidth="1"/>
    <col min="4" max="4" width="5.7109375" customWidth="1"/>
    <col min="5" max="5" width="5.85546875" customWidth="1"/>
    <col min="6" max="7" width="9.140625" customWidth="1"/>
    <col min="8" max="8" width="14.7109375" customWidth="1"/>
    <col min="9" max="9" width="1.5703125" customWidth="1"/>
    <col min="10" max="10" width="10.5703125" customWidth="1"/>
    <col min="11" max="11" width="20.7109375" customWidth="1"/>
    <col min="12" max="12" width="2" customWidth="1"/>
    <col min="13" max="13" width="10.140625" customWidth="1"/>
    <col min="14" max="14" width="13.7109375" customWidth="1"/>
    <col min="15" max="15" width="9.42578125" customWidth="1"/>
    <col min="16" max="16" width="10.7109375" bestFit="1" customWidth="1"/>
    <col min="17" max="17" width="16.5703125" customWidth="1"/>
    <col min="18" max="18" width="16" customWidth="1"/>
    <col min="19" max="228" width="9.42578125" customWidth="1"/>
    <col min="229" max="229" width="7.140625" customWidth="1"/>
    <col min="230" max="230" width="35.28515625" customWidth="1"/>
    <col min="231" max="231" width="6.7109375" customWidth="1"/>
    <col min="232" max="232" width="5.7109375" customWidth="1"/>
    <col min="233" max="233" width="5.85546875" customWidth="1"/>
    <col min="234" max="234" width="7.85546875" customWidth="1"/>
    <col min="239" max="239" width="7.140625" customWidth="1"/>
    <col min="240" max="240" width="39.42578125" customWidth="1"/>
    <col min="241" max="241" width="6.7109375" customWidth="1"/>
    <col min="242" max="242" width="5.7109375" customWidth="1"/>
    <col min="243" max="243" width="5.85546875" customWidth="1"/>
    <col min="244" max="244" width="7.85546875" customWidth="1"/>
    <col min="245" max="245" width="14.28515625" customWidth="1"/>
    <col min="246" max="246" width="14" customWidth="1"/>
    <col min="247" max="247" width="10.140625" customWidth="1"/>
    <col min="248" max="248" width="11" customWidth="1"/>
    <col min="249" max="249" width="13.5703125" customWidth="1"/>
    <col min="250" max="250" width="8.7109375" customWidth="1"/>
    <col min="251" max="251" width="10.28515625" customWidth="1"/>
    <col min="252" max="252" width="15.28515625" customWidth="1"/>
    <col min="253" max="254" width="10.140625" customWidth="1"/>
    <col min="255" max="255" width="13.42578125" customWidth="1"/>
    <col min="256" max="257" width="10.140625" customWidth="1"/>
    <col min="258" max="258" width="12.42578125" customWidth="1"/>
    <col min="259" max="261" width="0" hidden="1" customWidth="1"/>
    <col min="262" max="262" width="11.5703125" customWidth="1"/>
    <col min="263" max="263" width="11.85546875" customWidth="1"/>
    <col min="264" max="264" width="15.7109375" customWidth="1"/>
    <col min="265" max="265" width="1.5703125" customWidth="1"/>
    <col min="266" max="266" width="10.5703125" customWidth="1"/>
    <col min="267" max="267" width="20.7109375" customWidth="1"/>
    <col min="268" max="268" width="2" customWidth="1"/>
    <col min="269" max="269" width="10.140625" customWidth="1"/>
    <col min="270" max="270" width="13.7109375" customWidth="1"/>
    <col min="271" max="271" width="9.42578125" customWidth="1"/>
    <col min="272" max="272" width="10.7109375" bestFit="1" customWidth="1"/>
    <col min="273" max="273" width="16.5703125" customWidth="1"/>
    <col min="274" max="274" width="16" customWidth="1"/>
    <col min="275" max="484" width="9.42578125" customWidth="1"/>
    <col min="485" max="485" width="7.140625" customWidth="1"/>
    <col min="486" max="486" width="35.28515625" customWidth="1"/>
    <col min="487" max="487" width="6.7109375" customWidth="1"/>
    <col min="488" max="488" width="5.7109375" customWidth="1"/>
    <col min="489" max="489" width="5.85546875" customWidth="1"/>
    <col min="490" max="490" width="7.85546875" customWidth="1"/>
    <col min="495" max="495" width="7.140625" customWidth="1"/>
    <col min="496" max="496" width="39.42578125" customWidth="1"/>
    <col min="497" max="497" width="6.7109375" customWidth="1"/>
    <col min="498" max="498" width="5.7109375" customWidth="1"/>
    <col min="499" max="499" width="5.85546875" customWidth="1"/>
    <col min="500" max="500" width="7.85546875" customWidth="1"/>
    <col min="501" max="501" width="14.28515625" customWidth="1"/>
    <col min="502" max="502" width="14" customWidth="1"/>
    <col min="503" max="503" width="10.140625" customWidth="1"/>
    <col min="504" max="504" width="11" customWidth="1"/>
    <col min="505" max="505" width="13.5703125" customWidth="1"/>
    <col min="506" max="506" width="8.7109375" customWidth="1"/>
    <col min="507" max="507" width="10.28515625" customWidth="1"/>
    <col min="508" max="508" width="15.28515625" customWidth="1"/>
    <col min="509" max="510" width="10.140625" customWidth="1"/>
    <col min="511" max="511" width="13.42578125" customWidth="1"/>
    <col min="512" max="513" width="10.140625" customWidth="1"/>
    <col min="514" max="514" width="12.42578125" customWidth="1"/>
    <col min="515" max="517" width="0" hidden="1" customWidth="1"/>
    <col min="518" max="518" width="11.5703125" customWidth="1"/>
    <col min="519" max="519" width="11.85546875" customWidth="1"/>
    <col min="520" max="520" width="15.7109375" customWidth="1"/>
    <col min="521" max="521" width="1.5703125" customWidth="1"/>
    <col min="522" max="522" width="10.5703125" customWidth="1"/>
    <col min="523" max="523" width="20.7109375" customWidth="1"/>
    <col min="524" max="524" width="2" customWidth="1"/>
    <col min="525" max="525" width="10.140625" customWidth="1"/>
    <col min="526" max="526" width="13.7109375" customWidth="1"/>
    <col min="527" max="527" width="9.42578125" customWidth="1"/>
    <col min="528" max="528" width="10.7109375" bestFit="1" customWidth="1"/>
    <col min="529" max="529" width="16.5703125" customWidth="1"/>
    <col min="530" max="530" width="16" customWidth="1"/>
    <col min="531" max="740" width="9.42578125" customWidth="1"/>
    <col min="741" max="741" width="7.140625" customWidth="1"/>
    <col min="742" max="742" width="35.28515625" customWidth="1"/>
    <col min="743" max="743" width="6.7109375" customWidth="1"/>
    <col min="744" max="744" width="5.7109375" customWidth="1"/>
    <col min="745" max="745" width="5.85546875" customWidth="1"/>
    <col min="746" max="746" width="7.85546875" customWidth="1"/>
    <col min="751" max="751" width="7.140625" customWidth="1"/>
    <col min="752" max="752" width="39.42578125" customWidth="1"/>
    <col min="753" max="753" width="6.7109375" customWidth="1"/>
    <col min="754" max="754" width="5.7109375" customWidth="1"/>
    <col min="755" max="755" width="5.85546875" customWidth="1"/>
    <col min="756" max="756" width="7.85546875" customWidth="1"/>
    <col min="757" max="757" width="14.28515625" customWidth="1"/>
    <col min="758" max="758" width="14" customWidth="1"/>
    <col min="759" max="759" width="10.140625" customWidth="1"/>
    <col min="760" max="760" width="11" customWidth="1"/>
    <col min="761" max="761" width="13.5703125" customWidth="1"/>
    <col min="762" max="762" width="8.7109375" customWidth="1"/>
    <col min="763" max="763" width="10.28515625" customWidth="1"/>
    <col min="764" max="764" width="15.28515625" customWidth="1"/>
    <col min="765" max="766" width="10.140625" customWidth="1"/>
    <col min="767" max="767" width="13.42578125" customWidth="1"/>
    <col min="768" max="769" width="10.140625" customWidth="1"/>
    <col min="770" max="770" width="12.42578125" customWidth="1"/>
    <col min="771" max="773" width="0" hidden="1" customWidth="1"/>
    <col min="774" max="774" width="11.5703125" customWidth="1"/>
    <col min="775" max="775" width="11.85546875" customWidth="1"/>
    <col min="776" max="776" width="15.7109375" customWidth="1"/>
    <col min="777" max="777" width="1.5703125" customWidth="1"/>
    <col min="778" max="778" width="10.5703125" customWidth="1"/>
    <col min="779" max="779" width="20.7109375" customWidth="1"/>
    <col min="780" max="780" width="2" customWidth="1"/>
    <col min="781" max="781" width="10.140625" customWidth="1"/>
    <col min="782" max="782" width="13.7109375" customWidth="1"/>
    <col min="783" max="783" width="9.42578125" customWidth="1"/>
    <col min="784" max="784" width="10.7109375" bestFit="1" customWidth="1"/>
    <col min="785" max="785" width="16.5703125" customWidth="1"/>
    <col min="786" max="786" width="16" customWidth="1"/>
    <col min="787" max="996" width="9.42578125" customWidth="1"/>
    <col min="997" max="997" width="7.140625" customWidth="1"/>
    <col min="998" max="998" width="35.28515625" customWidth="1"/>
    <col min="999" max="999" width="6.7109375" customWidth="1"/>
    <col min="1000" max="1000" width="5.7109375" customWidth="1"/>
    <col min="1001" max="1001" width="5.85546875" customWidth="1"/>
    <col min="1002" max="1002" width="7.85546875" customWidth="1"/>
    <col min="1007" max="1007" width="7.140625" customWidth="1"/>
    <col min="1008" max="1008" width="39.42578125" customWidth="1"/>
    <col min="1009" max="1009" width="6.7109375" customWidth="1"/>
    <col min="1010" max="1010" width="5.7109375" customWidth="1"/>
    <col min="1011" max="1011" width="5.85546875" customWidth="1"/>
    <col min="1012" max="1012" width="7.85546875" customWidth="1"/>
    <col min="1013" max="1013" width="14.28515625" customWidth="1"/>
    <col min="1014" max="1014" width="14" customWidth="1"/>
    <col min="1015" max="1015" width="10.140625" customWidth="1"/>
    <col min="1016" max="1016" width="11" customWidth="1"/>
    <col min="1017" max="1017" width="13.5703125" customWidth="1"/>
    <col min="1018" max="1018" width="8.7109375" customWidth="1"/>
    <col min="1019" max="1019" width="10.28515625" customWidth="1"/>
    <col min="1020" max="1020" width="15.28515625" customWidth="1"/>
    <col min="1021" max="1022" width="10.140625" customWidth="1"/>
    <col min="1023" max="1023" width="13.42578125" customWidth="1"/>
    <col min="1024" max="1025" width="10.140625" customWidth="1"/>
    <col min="1026" max="1026" width="12.42578125" customWidth="1"/>
    <col min="1027" max="1029" width="0" hidden="1" customWidth="1"/>
    <col min="1030" max="1030" width="11.5703125" customWidth="1"/>
    <col min="1031" max="1031" width="11.85546875" customWidth="1"/>
    <col min="1032" max="1032" width="15.7109375" customWidth="1"/>
    <col min="1033" max="1033" width="1.5703125" customWidth="1"/>
    <col min="1034" max="1034" width="10.5703125" customWidth="1"/>
    <col min="1035" max="1035" width="20.7109375" customWidth="1"/>
    <col min="1036" max="1036" width="2" customWidth="1"/>
    <col min="1037" max="1037" width="10.140625" customWidth="1"/>
    <col min="1038" max="1038" width="13.7109375" customWidth="1"/>
    <col min="1039" max="1039" width="9.42578125" customWidth="1"/>
    <col min="1040" max="1040" width="10.7109375" bestFit="1" customWidth="1"/>
    <col min="1041" max="1041" width="16.5703125" customWidth="1"/>
    <col min="1042" max="1042" width="16" customWidth="1"/>
    <col min="1043" max="1252" width="9.42578125" customWidth="1"/>
    <col min="1253" max="1253" width="7.140625" customWidth="1"/>
    <col min="1254" max="1254" width="35.28515625" customWidth="1"/>
    <col min="1255" max="1255" width="6.7109375" customWidth="1"/>
    <col min="1256" max="1256" width="5.7109375" customWidth="1"/>
    <col min="1257" max="1257" width="5.85546875" customWidth="1"/>
    <col min="1258" max="1258" width="7.85546875" customWidth="1"/>
    <col min="1263" max="1263" width="7.140625" customWidth="1"/>
    <col min="1264" max="1264" width="39.42578125" customWidth="1"/>
    <col min="1265" max="1265" width="6.7109375" customWidth="1"/>
    <col min="1266" max="1266" width="5.7109375" customWidth="1"/>
    <col min="1267" max="1267" width="5.85546875" customWidth="1"/>
    <col min="1268" max="1268" width="7.85546875" customWidth="1"/>
    <col min="1269" max="1269" width="14.28515625" customWidth="1"/>
    <col min="1270" max="1270" width="14" customWidth="1"/>
    <col min="1271" max="1271" width="10.140625" customWidth="1"/>
    <col min="1272" max="1272" width="11" customWidth="1"/>
    <col min="1273" max="1273" width="13.5703125" customWidth="1"/>
    <col min="1274" max="1274" width="8.7109375" customWidth="1"/>
    <col min="1275" max="1275" width="10.28515625" customWidth="1"/>
    <col min="1276" max="1276" width="15.28515625" customWidth="1"/>
    <col min="1277" max="1278" width="10.140625" customWidth="1"/>
    <col min="1279" max="1279" width="13.42578125" customWidth="1"/>
    <col min="1280" max="1281" width="10.140625" customWidth="1"/>
    <col min="1282" max="1282" width="12.42578125" customWidth="1"/>
    <col min="1283" max="1285" width="0" hidden="1" customWidth="1"/>
    <col min="1286" max="1286" width="11.5703125" customWidth="1"/>
    <col min="1287" max="1287" width="11.85546875" customWidth="1"/>
    <col min="1288" max="1288" width="15.7109375" customWidth="1"/>
    <col min="1289" max="1289" width="1.5703125" customWidth="1"/>
    <col min="1290" max="1290" width="10.5703125" customWidth="1"/>
    <col min="1291" max="1291" width="20.7109375" customWidth="1"/>
    <col min="1292" max="1292" width="2" customWidth="1"/>
    <col min="1293" max="1293" width="10.140625" customWidth="1"/>
    <col min="1294" max="1294" width="13.7109375" customWidth="1"/>
    <col min="1295" max="1295" width="9.42578125" customWidth="1"/>
    <col min="1296" max="1296" width="10.7109375" bestFit="1" customWidth="1"/>
    <col min="1297" max="1297" width="16.5703125" customWidth="1"/>
    <col min="1298" max="1298" width="16" customWidth="1"/>
    <col min="1299" max="1508" width="9.42578125" customWidth="1"/>
    <col min="1509" max="1509" width="7.140625" customWidth="1"/>
    <col min="1510" max="1510" width="35.28515625" customWidth="1"/>
    <col min="1511" max="1511" width="6.7109375" customWidth="1"/>
    <col min="1512" max="1512" width="5.7109375" customWidth="1"/>
    <col min="1513" max="1513" width="5.85546875" customWidth="1"/>
    <col min="1514" max="1514" width="7.85546875" customWidth="1"/>
    <col min="1519" max="1519" width="7.140625" customWidth="1"/>
    <col min="1520" max="1520" width="39.42578125" customWidth="1"/>
    <col min="1521" max="1521" width="6.7109375" customWidth="1"/>
    <col min="1522" max="1522" width="5.7109375" customWidth="1"/>
    <col min="1523" max="1523" width="5.85546875" customWidth="1"/>
    <col min="1524" max="1524" width="7.85546875" customWidth="1"/>
    <col min="1525" max="1525" width="14.28515625" customWidth="1"/>
    <col min="1526" max="1526" width="14" customWidth="1"/>
    <col min="1527" max="1527" width="10.140625" customWidth="1"/>
    <col min="1528" max="1528" width="11" customWidth="1"/>
    <col min="1529" max="1529" width="13.5703125" customWidth="1"/>
    <col min="1530" max="1530" width="8.7109375" customWidth="1"/>
    <col min="1531" max="1531" width="10.28515625" customWidth="1"/>
    <col min="1532" max="1532" width="15.28515625" customWidth="1"/>
    <col min="1533" max="1534" width="10.140625" customWidth="1"/>
    <col min="1535" max="1535" width="13.42578125" customWidth="1"/>
    <col min="1536" max="1537" width="10.140625" customWidth="1"/>
    <col min="1538" max="1538" width="12.42578125" customWidth="1"/>
    <col min="1539" max="1541" width="0" hidden="1" customWidth="1"/>
    <col min="1542" max="1542" width="11.5703125" customWidth="1"/>
    <col min="1543" max="1543" width="11.85546875" customWidth="1"/>
    <col min="1544" max="1544" width="15.7109375" customWidth="1"/>
    <col min="1545" max="1545" width="1.5703125" customWidth="1"/>
    <col min="1546" max="1546" width="10.5703125" customWidth="1"/>
    <col min="1547" max="1547" width="20.7109375" customWidth="1"/>
    <col min="1548" max="1548" width="2" customWidth="1"/>
    <col min="1549" max="1549" width="10.140625" customWidth="1"/>
    <col min="1550" max="1550" width="13.7109375" customWidth="1"/>
    <col min="1551" max="1551" width="9.42578125" customWidth="1"/>
    <col min="1552" max="1552" width="10.7109375" bestFit="1" customWidth="1"/>
    <col min="1553" max="1553" width="16.5703125" customWidth="1"/>
    <col min="1554" max="1554" width="16" customWidth="1"/>
    <col min="1555" max="1764" width="9.42578125" customWidth="1"/>
    <col min="1765" max="1765" width="7.140625" customWidth="1"/>
    <col min="1766" max="1766" width="35.28515625" customWidth="1"/>
    <col min="1767" max="1767" width="6.7109375" customWidth="1"/>
    <col min="1768" max="1768" width="5.7109375" customWidth="1"/>
    <col min="1769" max="1769" width="5.85546875" customWidth="1"/>
    <col min="1770" max="1770" width="7.85546875" customWidth="1"/>
    <col min="1775" max="1775" width="7.140625" customWidth="1"/>
    <col min="1776" max="1776" width="39.42578125" customWidth="1"/>
    <col min="1777" max="1777" width="6.7109375" customWidth="1"/>
    <col min="1778" max="1778" width="5.7109375" customWidth="1"/>
    <col min="1779" max="1779" width="5.85546875" customWidth="1"/>
    <col min="1780" max="1780" width="7.85546875" customWidth="1"/>
    <col min="1781" max="1781" width="14.28515625" customWidth="1"/>
    <col min="1782" max="1782" width="14" customWidth="1"/>
    <col min="1783" max="1783" width="10.140625" customWidth="1"/>
    <col min="1784" max="1784" width="11" customWidth="1"/>
    <col min="1785" max="1785" width="13.5703125" customWidth="1"/>
    <col min="1786" max="1786" width="8.7109375" customWidth="1"/>
    <col min="1787" max="1787" width="10.28515625" customWidth="1"/>
    <col min="1788" max="1788" width="15.28515625" customWidth="1"/>
    <col min="1789" max="1790" width="10.140625" customWidth="1"/>
    <col min="1791" max="1791" width="13.42578125" customWidth="1"/>
    <col min="1792" max="1793" width="10.140625" customWidth="1"/>
    <col min="1794" max="1794" width="12.42578125" customWidth="1"/>
    <col min="1795" max="1797" width="0" hidden="1" customWidth="1"/>
    <col min="1798" max="1798" width="11.5703125" customWidth="1"/>
    <col min="1799" max="1799" width="11.85546875" customWidth="1"/>
    <col min="1800" max="1800" width="15.7109375" customWidth="1"/>
    <col min="1801" max="1801" width="1.5703125" customWidth="1"/>
    <col min="1802" max="1802" width="10.5703125" customWidth="1"/>
    <col min="1803" max="1803" width="20.7109375" customWidth="1"/>
    <col min="1804" max="1804" width="2" customWidth="1"/>
    <col min="1805" max="1805" width="10.140625" customWidth="1"/>
    <col min="1806" max="1806" width="13.7109375" customWidth="1"/>
    <col min="1807" max="1807" width="9.42578125" customWidth="1"/>
    <col min="1808" max="1808" width="10.7109375" bestFit="1" customWidth="1"/>
    <col min="1809" max="1809" width="16.5703125" customWidth="1"/>
    <col min="1810" max="1810" width="16" customWidth="1"/>
    <col min="1811" max="2020" width="9.42578125" customWidth="1"/>
    <col min="2021" max="2021" width="7.140625" customWidth="1"/>
    <col min="2022" max="2022" width="35.28515625" customWidth="1"/>
    <col min="2023" max="2023" width="6.7109375" customWidth="1"/>
    <col min="2024" max="2024" width="5.7109375" customWidth="1"/>
    <col min="2025" max="2025" width="5.85546875" customWidth="1"/>
    <col min="2026" max="2026" width="7.85546875" customWidth="1"/>
    <col min="2031" max="2031" width="7.140625" customWidth="1"/>
    <col min="2032" max="2032" width="39.42578125" customWidth="1"/>
    <col min="2033" max="2033" width="6.7109375" customWidth="1"/>
    <col min="2034" max="2034" width="5.7109375" customWidth="1"/>
    <col min="2035" max="2035" width="5.85546875" customWidth="1"/>
    <col min="2036" max="2036" width="7.85546875" customWidth="1"/>
    <col min="2037" max="2037" width="14.28515625" customWidth="1"/>
    <col min="2038" max="2038" width="14" customWidth="1"/>
    <col min="2039" max="2039" width="10.140625" customWidth="1"/>
    <col min="2040" max="2040" width="11" customWidth="1"/>
    <col min="2041" max="2041" width="13.5703125" customWidth="1"/>
    <col min="2042" max="2042" width="8.7109375" customWidth="1"/>
    <col min="2043" max="2043" width="10.28515625" customWidth="1"/>
    <col min="2044" max="2044" width="15.28515625" customWidth="1"/>
    <col min="2045" max="2046" width="10.140625" customWidth="1"/>
    <col min="2047" max="2047" width="13.42578125" customWidth="1"/>
    <col min="2048" max="2049" width="10.140625" customWidth="1"/>
    <col min="2050" max="2050" width="12.42578125" customWidth="1"/>
    <col min="2051" max="2053" width="0" hidden="1" customWidth="1"/>
    <col min="2054" max="2054" width="11.5703125" customWidth="1"/>
    <col min="2055" max="2055" width="11.85546875" customWidth="1"/>
    <col min="2056" max="2056" width="15.7109375" customWidth="1"/>
    <col min="2057" max="2057" width="1.5703125" customWidth="1"/>
    <col min="2058" max="2058" width="10.5703125" customWidth="1"/>
    <col min="2059" max="2059" width="20.7109375" customWidth="1"/>
    <col min="2060" max="2060" width="2" customWidth="1"/>
    <col min="2061" max="2061" width="10.140625" customWidth="1"/>
    <col min="2062" max="2062" width="13.7109375" customWidth="1"/>
    <col min="2063" max="2063" width="9.42578125" customWidth="1"/>
    <col min="2064" max="2064" width="10.7109375" bestFit="1" customWidth="1"/>
    <col min="2065" max="2065" width="16.5703125" customWidth="1"/>
    <col min="2066" max="2066" width="16" customWidth="1"/>
    <col min="2067" max="2276" width="9.42578125" customWidth="1"/>
    <col min="2277" max="2277" width="7.140625" customWidth="1"/>
    <col min="2278" max="2278" width="35.28515625" customWidth="1"/>
    <col min="2279" max="2279" width="6.7109375" customWidth="1"/>
    <col min="2280" max="2280" width="5.7109375" customWidth="1"/>
    <col min="2281" max="2281" width="5.85546875" customWidth="1"/>
    <col min="2282" max="2282" width="7.85546875" customWidth="1"/>
    <col min="2287" max="2287" width="7.140625" customWidth="1"/>
    <col min="2288" max="2288" width="39.42578125" customWidth="1"/>
    <col min="2289" max="2289" width="6.7109375" customWidth="1"/>
    <col min="2290" max="2290" width="5.7109375" customWidth="1"/>
    <col min="2291" max="2291" width="5.85546875" customWidth="1"/>
    <col min="2292" max="2292" width="7.85546875" customWidth="1"/>
    <col min="2293" max="2293" width="14.28515625" customWidth="1"/>
    <col min="2294" max="2294" width="14" customWidth="1"/>
    <col min="2295" max="2295" width="10.140625" customWidth="1"/>
    <col min="2296" max="2296" width="11" customWidth="1"/>
    <col min="2297" max="2297" width="13.5703125" customWidth="1"/>
    <col min="2298" max="2298" width="8.7109375" customWidth="1"/>
    <col min="2299" max="2299" width="10.28515625" customWidth="1"/>
    <col min="2300" max="2300" width="15.28515625" customWidth="1"/>
    <col min="2301" max="2302" width="10.140625" customWidth="1"/>
    <col min="2303" max="2303" width="13.42578125" customWidth="1"/>
    <col min="2304" max="2305" width="10.140625" customWidth="1"/>
    <col min="2306" max="2306" width="12.42578125" customWidth="1"/>
    <col min="2307" max="2309" width="0" hidden="1" customWidth="1"/>
    <col min="2310" max="2310" width="11.5703125" customWidth="1"/>
    <col min="2311" max="2311" width="11.85546875" customWidth="1"/>
    <col min="2312" max="2312" width="15.7109375" customWidth="1"/>
    <col min="2313" max="2313" width="1.5703125" customWidth="1"/>
    <col min="2314" max="2314" width="10.5703125" customWidth="1"/>
    <col min="2315" max="2315" width="20.7109375" customWidth="1"/>
    <col min="2316" max="2316" width="2" customWidth="1"/>
    <col min="2317" max="2317" width="10.140625" customWidth="1"/>
    <col min="2318" max="2318" width="13.7109375" customWidth="1"/>
    <col min="2319" max="2319" width="9.42578125" customWidth="1"/>
    <col min="2320" max="2320" width="10.7109375" bestFit="1" customWidth="1"/>
    <col min="2321" max="2321" width="16.5703125" customWidth="1"/>
    <col min="2322" max="2322" width="16" customWidth="1"/>
    <col min="2323" max="2532" width="9.42578125" customWidth="1"/>
    <col min="2533" max="2533" width="7.140625" customWidth="1"/>
    <col min="2534" max="2534" width="35.28515625" customWidth="1"/>
    <col min="2535" max="2535" width="6.7109375" customWidth="1"/>
    <col min="2536" max="2536" width="5.7109375" customWidth="1"/>
    <col min="2537" max="2537" width="5.85546875" customWidth="1"/>
    <col min="2538" max="2538" width="7.85546875" customWidth="1"/>
    <col min="2543" max="2543" width="7.140625" customWidth="1"/>
    <col min="2544" max="2544" width="39.42578125" customWidth="1"/>
    <col min="2545" max="2545" width="6.7109375" customWidth="1"/>
    <col min="2546" max="2546" width="5.7109375" customWidth="1"/>
    <col min="2547" max="2547" width="5.85546875" customWidth="1"/>
    <col min="2548" max="2548" width="7.85546875" customWidth="1"/>
    <col min="2549" max="2549" width="14.28515625" customWidth="1"/>
    <col min="2550" max="2550" width="14" customWidth="1"/>
    <col min="2551" max="2551" width="10.140625" customWidth="1"/>
    <col min="2552" max="2552" width="11" customWidth="1"/>
    <col min="2553" max="2553" width="13.5703125" customWidth="1"/>
    <col min="2554" max="2554" width="8.7109375" customWidth="1"/>
    <col min="2555" max="2555" width="10.28515625" customWidth="1"/>
    <col min="2556" max="2556" width="15.28515625" customWidth="1"/>
    <col min="2557" max="2558" width="10.140625" customWidth="1"/>
    <col min="2559" max="2559" width="13.42578125" customWidth="1"/>
    <col min="2560" max="2561" width="10.140625" customWidth="1"/>
    <col min="2562" max="2562" width="12.42578125" customWidth="1"/>
    <col min="2563" max="2565" width="0" hidden="1" customWidth="1"/>
    <col min="2566" max="2566" width="11.5703125" customWidth="1"/>
    <col min="2567" max="2567" width="11.85546875" customWidth="1"/>
    <col min="2568" max="2568" width="15.7109375" customWidth="1"/>
    <col min="2569" max="2569" width="1.5703125" customWidth="1"/>
    <col min="2570" max="2570" width="10.5703125" customWidth="1"/>
    <col min="2571" max="2571" width="20.7109375" customWidth="1"/>
    <col min="2572" max="2572" width="2" customWidth="1"/>
    <col min="2573" max="2573" width="10.140625" customWidth="1"/>
    <col min="2574" max="2574" width="13.7109375" customWidth="1"/>
    <col min="2575" max="2575" width="9.42578125" customWidth="1"/>
    <col min="2576" max="2576" width="10.7109375" bestFit="1" customWidth="1"/>
    <col min="2577" max="2577" width="16.5703125" customWidth="1"/>
    <col min="2578" max="2578" width="16" customWidth="1"/>
    <col min="2579" max="2788" width="9.42578125" customWidth="1"/>
    <col min="2789" max="2789" width="7.140625" customWidth="1"/>
    <col min="2790" max="2790" width="35.28515625" customWidth="1"/>
    <col min="2791" max="2791" width="6.7109375" customWidth="1"/>
    <col min="2792" max="2792" width="5.7109375" customWidth="1"/>
    <col min="2793" max="2793" width="5.85546875" customWidth="1"/>
    <col min="2794" max="2794" width="7.85546875" customWidth="1"/>
    <col min="2799" max="2799" width="7.140625" customWidth="1"/>
    <col min="2800" max="2800" width="39.42578125" customWidth="1"/>
    <col min="2801" max="2801" width="6.7109375" customWidth="1"/>
    <col min="2802" max="2802" width="5.7109375" customWidth="1"/>
    <col min="2803" max="2803" width="5.85546875" customWidth="1"/>
    <col min="2804" max="2804" width="7.85546875" customWidth="1"/>
    <col min="2805" max="2805" width="14.28515625" customWidth="1"/>
    <col min="2806" max="2806" width="14" customWidth="1"/>
    <col min="2807" max="2807" width="10.140625" customWidth="1"/>
    <col min="2808" max="2808" width="11" customWidth="1"/>
    <col min="2809" max="2809" width="13.5703125" customWidth="1"/>
    <col min="2810" max="2810" width="8.7109375" customWidth="1"/>
    <col min="2811" max="2811" width="10.28515625" customWidth="1"/>
    <col min="2812" max="2812" width="15.28515625" customWidth="1"/>
    <col min="2813" max="2814" width="10.140625" customWidth="1"/>
    <col min="2815" max="2815" width="13.42578125" customWidth="1"/>
    <col min="2816" max="2817" width="10.140625" customWidth="1"/>
    <col min="2818" max="2818" width="12.42578125" customWidth="1"/>
    <col min="2819" max="2821" width="0" hidden="1" customWidth="1"/>
    <col min="2822" max="2822" width="11.5703125" customWidth="1"/>
    <col min="2823" max="2823" width="11.85546875" customWidth="1"/>
    <col min="2824" max="2824" width="15.7109375" customWidth="1"/>
    <col min="2825" max="2825" width="1.5703125" customWidth="1"/>
    <col min="2826" max="2826" width="10.5703125" customWidth="1"/>
    <col min="2827" max="2827" width="20.7109375" customWidth="1"/>
    <col min="2828" max="2828" width="2" customWidth="1"/>
    <col min="2829" max="2829" width="10.140625" customWidth="1"/>
    <col min="2830" max="2830" width="13.7109375" customWidth="1"/>
    <col min="2831" max="2831" width="9.42578125" customWidth="1"/>
    <col min="2832" max="2832" width="10.7109375" bestFit="1" customWidth="1"/>
    <col min="2833" max="2833" width="16.5703125" customWidth="1"/>
    <col min="2834" max="2834" width="16" customWidth="1"/>
    <col min="2835" max="3044" width="9.42578125" customWidth="1"/>
    <col min="3045" max="3045" width="7.140625" customWidth="1"/>
    <col min="3046" max="3046" width="35.28515625" customWidth="1"/>
    <col min="3047" max="3047" width="6.7109375" customWidth="1"/>
    <col min="3048" max="3048" width="5.7109375" customWidth="1"/>
    <col min="3049" max="3049" width="5.85546875" customWidth="1"/>
    <col min="3050" max="3050" width="7.85546875" customWidth="1"/>
    <col min="3055" max="3055" width="7.140625" customWidth="1"/>
    <col min="3056" max="3056" width="39.42578125" customWidth="1"/>
    <col min="3057" max="3057" width="6.7109375" customWidth="1"/>
    <col min="3058" max="3058" width="5.7109375" customWidth="1"/>
    <col min="3059" max="3059" width="5.85546875" customWidth="1"/>
    <col min="3060" max="3060" width="7.85546875" customWidth="1"/>
    <col min="3061" max="3061" width="14.28515625" customWidth="1"/>
    <col min="3062" max="3062" width="14" customWidth="1"/>
    <col min="3063" max="3063" width="10.140625" customWidth="1"/>
    <col min="3064" max="3064" width="11" customWidth="1"/>
    <col min="3065" max="3065" width="13.5703125" customWidth="1"/>
    <col min="3066" max="3066" width="8.7109375" customWidth="1"/>
    <col min="3067" max="3067" width="10.28515625" customWidth="1"/>
    <col min="3068" max="3068" width="15.28515625" customWidth="1"/>
    <col min="3069" max="3070" width="10.140625" customWidth="1"/>
    <col min="3071" max="3071" width="13.42578125" customWidth="1"/>
    <col min="3072" max="3073" width="10.140625" customWidth="1"/>
    <col min="3074" max="3074" width="12.42578125" customWidth="1"/>
    <col min="3075" max="3077" width="0" hidden="1" customWidth="1"/>
    <col min="3078" max="3078" width="11.5703125" customWidth="1"/>
    <col min="3079" max="3079" width="11.85546875" customWidth="1"/>
    <col min="3080" max="3080" width="15.7109375" customWidth="1"/>
    <col min="3081" max="3081" width="1.5703125" customWidth="1"/>
    <col min="3082" max="3082" width="10.5703125" customWidth="1"/>
    <col min="3083" max="3083" width="20.7109375" customWidth="1"/>
    <col min="3084" max="3084" width="2" customWidth="1"/>
    <col min="3085" max="3085" width="10.140625" customWidth="1"/>
    <col min="3086" max="3086" width="13.7109375" customWidth="1"/>
    <col min="3087" max="3087" width="9.42578125" customWidth="1"/>
    <col min="3088" max="3088" width="10.7109375" bestFit="1" customWidth="1"/>
    <col min="3089" max="3089" width="16.5703125" customWidth="1"/>
    <col min="3090" max="3090" width="16" customWidth="1"/>
    <col min="3091" max="3300" width="9.42578125" customWidth="1"/>
    <col min="3301" max="3301" width="7.140625" customWidth="1"/>
    <col min="3302" max="3302" width="35.28515625" customWidth="1"/>
    <col min="3303" max="3303" width="6.7109375" customWidth="1"/>
    <col min="3304" max="3304" width="5.7109375" customWidth="1"/>
    <col min="3305" max="3305" width="5.85546875" customWidth="1"/>
    <col min="3306" max="3306" width="7.85546875" customWidth="1"/>
    <col min="3311" max="3311" width="7.140625" customWidth="1"/>
    <col min="3312" max="3312" width="39.42578125" customWidth="1"/>
    <col min="3313" max="3313" width="6.7109375" customWidth="1"/>
    <col min="3314" max="3314" width="5.7109375" customWidth="1"/>
    <col min="3315" max="3315" width="5.85546875" customWidth="1"/>
    <col min="3316" max="3316" width="7.85546875" customWidth="1"/>
    <col min="3317" max="3317" width="14.28515625" customWidth="1"/>
    <col min="3318" max="3318" width="14" customWidth="1"/>
    <col min="3319" max="3319" width="10.140625" customWidth="1"/>
    <col min="3320" max="3320" width="11" customWidth="1"/>
    <col min="3321" max="3321" width="13.5703125" customWidth="1"/>
    <col min="3322" max="3322" width="8.7109375" customWidth="1"/>
    <col min="3323" max="3323" width="10.28515625" customWidth="1"/>
    <col min="3324" max="3324" width="15.28515625" customWidth="1"/>
    <col min="3325" max="3326" width="10.140625" customWidth="1"/>
    <col min="3327" max="3327" width="13.42578125" customWidth="1"/>
    <col min="3328" max="3329" width="10.140625" customWidth="1"/>
    <col min="3330" max="3330" width="12.42578125" customWidth="1"/>
    <col min="3331" max="3333" width="0" hidden="1" customWidth="1"/>
    <col min="3334" max="3334" width="11.5703125" customWidth="1"/>
    <col min="3335" max="3335" width="11.85546875" customWidth="1"/>
    <col min="3336" max="3336" width="15.7109375" customWidth="1"/>
    <col min="3337" max="3337" width="1.5703125" customWidth="1"/>
    <col min="3338" max="3338" width="10.5703125" customWidth="1"/>
    <col min="3339" max="3339" width="20.7109375" customWidth="1"/>
    <col min="3340" max="3340" width="2" customWidth="1"/>
    <col min="3341" max="3341" width="10.140625" customWidth="1"/>
    <col min="3342" max="3342" width="13.7109375" customWidth="1"/>
    <col min="3343" max="3343" width="9.42578125" customWidth="1"/>
    <col min="3344" max="3344" width="10.7109375" bestFit="1" customWidth="1"/>
    <col min="3345" max="3345" width="16.5703125" customWidth="1"/>
    <col min="3346" max="3346" width="16" customWidth="1"/>
    <col min="3347" max="3556" width="9.42578125" customWidth="1"/>
    <col min="3557" max="3557" width="7.140625" customWidth="1"/>
    <col min="3558" max="3558" width="35.28515625" customWidth="1"/>
    <col min="3559" max="3559" width="6.7109375" customWidth="1"/>
    <col min="3560" max="3560" width="5.7109375" customWidth="1"/>
    <col min="3561" max="3561" width="5.85546875" customWidth="1"/>
    <col min="3562" max="3562" width="7.85546875" customWidth="1"/>
    <col min="3567" max="3567" width="7.140625" customWidth="1"/>
    <col min="3568" max="3568" width="39.42578125" customWidth="1"/>
    <col min="3569" max="3569" width="6.7109375" customWidth="1"/>
    <col min="3570" max="3570" width="5.7109375" customWidth="1"/>
    <col min="3571" max="3571" width="5.85546875" customWidth="1"/>
    <col min="3572" max="3572" width="7.85546875" customWidth="1"/>
    <col min="3573" max="3573" width="14.28515625" customWidth="1"/>
    <col min="3574" max="3574" width="14" customWidth="1"/>
    <col min="3575" max="3575" width="10.140625" customWidth="1"/>
    <col min="3576" max="3576" width="11" customWidth="1"/>
    <col min="3577" max="3577" width="13.5703125" customWidth="1"/>
    <col min="3578" max="3578" width="8.7109375" customWidth="1"/>
    <col min="3579" max="3579" width="10.28515625" customWidth="1"/>
    <col min="3580" max="3580" width="15.28515625" customWidth="1"/>
    <col min="3581" max="3582" width="10.140625" customWidth="1"/>
    <col min="3583" max="3583" width="13.42578125" customWidth="1"/>
    <col min="3584" max="3585" width="10.140625" customWidth="1"/>
    <col min="3586" max="3586" width="12.42578125" customWidth="1"/>
    <col min="3587" max="3589" width="0" hidden="1" customWidth="1"/>
    <col min="3590" max="3590" width="11.5703125" customWidth="1"/>
    <col min="3591" max="3591" width="11.85546875" customWidth="1"/>
    <col min="3592" max="3592" width="15.7109375" customWidth="1"/>
    <col min="3593" max="3593" width="1.5703125" customWidth="1"/>
    <col min="3594" max="3594" width="10.5703125" customWidth="1"/>
    <col min="3595" max="3595" width="20.7109375" customWidth="1"/>
    <col min="3596" max="3596" width="2" customWidth="1"/>
    <col min="3597" max="3597" width="10.140625" customWidth="1"/>
    <col min="3598" max="3598" width="13.7109375" customWidth="1"/>
    <col min="3599" max="3599" width="9.42578125" customWidth="1"/>
    <col min="3600" max="3600" width="10.7109375" bestFit="1" customWidth="1"/>
    <col min="3601" max="3601" width="16.5703125" customWidth="1"/>
    <col min="3602" max="3602" width="16" customWidth="1"/>
    <col min="3603" max="3812" width="9.42578125" customWidth="1"/>
    <col min="3813" max="3813" width="7.140625" customWidth="1"/>
    <col min="3814" max="3814" width="35.28515625" customWidth="1"/>
    <col min="3815" max="3815" width="6.7109375" customWidth="1"/>
    <col min="3816" max="3816" width="5.7109375" customWidth="1"/>
    <col min="3817" max="3817" width="5.85546875" customWidth="1"/>
    <col min="3818" max="3818" width="7.85546875" customWidth="1"/>
    <col min="3823" max="3823" width="7.140625" customWidth="1"/>
    <col min="3824" max="3824" width="39.42578125" customWidth="1"/>
    <col min="3825" max="3825" width="6.7109375" customWidth="1"/>
    <col min="3826" max="3826" width="5.7109375" customWidth="1"/>
    <col min="3827" max="3827" width="5.85546875" customWidth="1"/>
    <col min="3828" max="3828" width="7.85546875" customWidth="1"/>
    <col min="3829" max="3829" width="14.28515625" customWidth="1"/>
    <col min="3830" max="3830" width="14" customWidth="1"/>
    <col min="3831" max="3831" width="10.140625" customWidth="1"/>
    <col min="3832" max="3832" width="11" customWidth="1"/>
    <col min="3833" max="3833" width="13.5703125" customWidth="1"/>
    <col min="3834" max="3834" width="8.7109375" customWidth="1"/>
    <col min="3835" max="3835" width="10.28515625" customWidth="1"/>
    <col min="3836" max="3836" width="15.28515625" customWidth="1"/>
    <col min="3837" max="3838" width="10.140625" customWidth="1"/>
    <col min="3839" max="3839" width="13.42578125" customWidth="1"/>
    <col min="3840" max="3841" width="10.140625" customWidth="1"/>
    <col min="3842" max="3842" width="12.42578125" customWidth="1"/>
    <col min="3843" max="3845" width="0" hidden="1" customWidth="1"/>
    <col min="3846" max="3846" width="11.5703125" customWidth="1"/>
    <col min="3847" max="3847" width="11.85546875" customWidth="1"/>
    <col min="3848" max="3848" width="15.7109375" customWidth="1"/>
    <col min="3849" max="3849" width="1.5703125" customWidth="1"/>
    <col min="3850" max="3850" width="10.5703125" customWidth="1"/>
    <col min="3851" max="3851" width="20.7109375" customWidth="1"/>
    <col min="3852" max="3852" width="2" customWidth="1"/>
    <col min="3853" max="3853" width="10.140625" customWidth="1"/>
    <col min="3854" max="3854" width="13.7109375" customWidth="1"/>
    <col min="3855" max="3855" width="9.42578125" customWidth="1"/>
    <col min="3856" max="3856" width="10.7109375" bestFit="1" customWidth="1"/>
    <col min="3857" max="3857" width="16.5703125" customWidth="1"/>
    <col min="3858" max="3858" width="16" customWidth="1"/>
    <col min="3859" max="4068" width="9.42578125" customWidth="1"/>
    <col min="4069" max="4069" width="7.140625" customWidth="1"/>
    <col min="4070" max="4070" width="35.28515625" customWidth="1"/>
    <col min="4071" max="4071" width="6.7109375" customWidth="1"/>
    <col min="4072" max="4072" width="5.7109375" customWidth="1"/>
    <col min="4073" max="4073" width="5.85546875" customWidth="1"/>
    <col min="4074" max="4074" width="7.85546875" customWidth="1"/>
    <col min="4079" max="4079" width="7.140625" customWidth="1"/>
    <col min="4080" max="4080" width="39.42578125" customWidth="1"/>
    <col min="4081" max="4081" width="6.7109375" customWidth="1"/>
    <col min="4082" max="4082" width="5.7109375" customWidth="1"/>
    <col min="4083" max="4083" width="5.85546875" customWidth="1"/>
    <col min="4084" max="4084" width="7.85546875" customWidth="1"/>
    <col min="4085" max="4085" width="14.28515625" customWidth="1"/>
    <col min="4086" max="4086" width="14" customWidth="1"/>
    <col min="4087" max="4087" width="10.140625" customWidth="1"/>
    <col min="4088" max="4088" width="11" customWidth="1"/>
    <col min="4089" max="4089" width="13.5703125" customWidth="1"/>
    <col min="4090" max="4090" width="8.7109375" customWidth="1"/>
    <col min="4091" max="4091" width="10.28515625" customWidth="1"/>
    <col min="4092" max="4092" width="15.28515625" customWidth="1"/>
    <col min="4093" max="4094" width="10.140625" customWidth="1"/>
    <col min="4095" max="4095" width="13.42578125" customWidth="1"/>
    <col min="4096" max="4097" width="10.140625" customWidth="1"/>
    <col min="4098" max="4098" width="12.42578125" customWidth="1"/>
    <col min="4099" max="4101" width="0" hidden="1" customWidth="1"/>
    <col min="4102" max="4102" width="11.5703125" customWidth="1"/>
    <col min="4103" max="4103" width="11.85546875" customWidth="1"/>
    <col min="4104" max="4104" width="15.7109375" customWidth="1"/>
    <col min="4105" max="4105" width="1.5703125" customWidth="1"/>
    <col min="4106" max="4106" width="10.5703125" customWidth="1"/>
    <col min="4107" max="4107" width="20.7109375" customWidth="1"/>
    <col min="4108" max="4108" width="2" customWidth="1"/>
    <col min="4109" max="4109" width="10.140625" customWidth="1"/>
    <col min="4110" max="4110" width="13.7109375" customWidth="1"/>
    <col min="4111" max="4111" width="9.42578125" customWidth="1"/>
    <col min="4112" max="4112" width="10.7109375" bestFit="1" customWidth="1"/>
    <col min="4113" max="4113" width="16.5703125" customWidth="1"/>
    <col min="4114" max="4114" width="16" customWidth="1"/>
    <col min="4115" max="4324" width="9.42578125" customWidth="1"/>
    <col min="4325" max="4325" width="7.140625" customWidth="1"/>
    <col min="4326" max="4326" width="35.28515625" customWidth="1"/>
    <col min="4327" max="4327" width="6.7109375" customWidth="1"/>
    <col min="4328" max="4328" width="5.7109375" customWidth="1"/>
    <col min="4329" max="4329" width="5.85546875" customWidth="1"/>
    <col min="4330" max="4330" width="7.85546875" customWidth="1"/>
    <col min="4335" max="4335" width="7.140625" customWidth="1"/>
    <col min="4336" max="4336" width="39.42578125" customWidth="1"/>
    <col min="4337" max="4337" width="6.7109375" customWidth="1"/>
    <col min="4338" max="4338" width="5.7109375" customWidth="1"/>
    <col min="4339" max="4339" width="5.85546875" customWidth="1"/>
    <col min="4340" max="4340" width="7.85546875" customWidth="1"/>
    <col min="4341" max="4341" width="14.28515625" customWidth="1"/>
    <col min="4342" max="4342" width="14" customWidth="1"/>
    <col min="4343" max="4343" width="10.140625" customWidth="1"/>
    <col min="4344" max="4344" width="11" customWidth="1"/>
    <col min="4345" max="4345" width="13.5703125" customWidth="1"/>
    <col min="4346" max="4346" width="8.7109375" customWidth="1"/>
    <col min="4347" max="4347" width="10.28515625" customWidth="1"/>
    <col min="4348" max="4348" width="15.28515625" customWidth="1"/>
    <col min="4349" max="4350" width="10.140625" customWidth="1"/>
    <col min="4351" max="4351" width="13.42578125" customWidth="1"/>
    <col min="4352" max="4353" width="10.140625" customWidth="1"/>
    <col min="4354" max="4354" width="12.42578125" customWidth="1"/>
    <col min="4355" max="4357" width="0" hidden="1" customWidth="1"/>
    <col min="4358" max="4358" width="11.5703125" customWidth="1"/>
    <col min="4359" max="4359" width="11.85546875" customWidth="1"/>
    <col min="4360" max="4360" width="15.7109375" customWidth="1"/>
    <col min="4361" max="4361" width="1.5703125" customWidth="1"/>
    <col min="4362" max="4362" width="10.5703125" customWidth="1"/>
    <col min="4363" max="4363" width="20.7109375" customWidth="1"/>
    <col min="4364" max="4364" width="2" customWidth="1"/>
    <col min="4365" max="4365" width="10.140625" customWidth="1"/>
    <col min="4366" max="4366" width="13.7109375" customWidth="1"/>
    <col min="4367" max="4367" width="9.42578125" customWidth="1"/>
    <col min="4368" max="4368" width="10.7109375" bestFit="1" customWidth="1"/>
    <col min="4369" max="4369" width="16.5703125" customWidth="1"/>
    <col min="4370" max="4370" width="16" customWidth="1"/>
    <col min="4371" max="4580" width="9.42578125" customWidth="1"/>
    <col min="4581" max="4581" width="7.140625" customWidth="1"/>
    <col min="4582" max="4582" width="35.28515625" customWidth="1"/>
    <col min="4583" max="4583" width="6.7109375" customWidth="1"/>
    <col min="4584" max="4584" width="5.7109375" customWidth="1"/>
    <col min="4585" max="4585" width="5.85546875" customWidth="1"/>
    <col min="4586" max="4586" width="7.85546875" customWidth="1"/>
    <col min="4591" max="4591" width="7.140625" customWidth="1"/>
    <col min="4592" max="4592" width="39.42578125" customWidth="1"/>
    <col min="4593" max="4593" width="6.7109375" customWidth="1"/>
    <col min="4594" max="4594" width="5.7109375" customWidth="1"/>
    <col min="4595" max="4595" width="5.85546875" customWidth="1"/>
    <col min="4596" max="4596" width="7.85546875" customWidth="1"/>
    <col min="4597" max="4597" width="14.28515625" customWidth="1"/>
    <col min="4598" max="4598" width="14" customWidth="1"/>
    <col min="4599" max="4599" width="10.140625" customWidth="1"/>
    <col min="4600" max="4600" width="11" customWidth="1"/>
    <col min="4601" max="4601" width="13.5703125" customWidth="1"/>
    <col min="4602" max="4602" width="8.7109375" customWidth="1"/>
    <col min="4603" max="4603" width="10.28515625" customWidth="1"/>
    <col min="4604" max="4604" width="15.28515625" customWidth="1"/>
    <col min="4605" max="4606" width="10.140625" customWidth="1"/>
    <col min="4607" max="4607" width="13.42578125" customWidth="1"/>
    <col min="4608" max="4609" width="10.140625" customWidth="1"/>
    <col min="4610" max="4610" width="12.42578125" customWidth="1"/>
    <col min="4611" max="4613" width="0" hidden="1" customWidth="1"/>
    <col min="4614" max="4614" width="11.5703125" customWidth="1"/>
    <col min="4615" max="4615" width="11.85546875" customWidth="1"/>
    <col min="4616" max="4616" width="15.7109375" customWidth="1"/>
    <col min="4617" max="4617" width="1.5703125" customWidth="1"/>
    <col min="4618" max="4618" width="10.5703125" customWidth="1"/>
    <col min="4619" max="4619" width="20.7109375" customWidth="1"/>
    <col min="4620" max="4620" width="2" customWidth="1"/>
    <col min="4621" max="4621" width="10.140625" customWidth="1"/>
    <col min="4622" max="4622" width="13.7109375" customWidth="1"/>
    <col min="4623" max="4623" width="9.42578125" customWidth="1"/>
    <col min="4624" max="4624" width="10.7109375" bestFit="1" customWidth="1"/>
    <col min="4625" max="4625" width="16.5703125" customWidth="1"/>
    <col min="4626" max="4626" width="16" customWidth="1"/>
    <col min="4627" max="4836" width="9.42578125" customWidth="1"/>
    <col min="4837" max="4837" width="7.140625" customWidth="1"/>
    <col min="4838" max="4838" width="35.28515625" customWidth="1"/>
    <col min="4839" max="4839" width="6.7109375" customWidth="1"/>
    <col min="4840" max="4840" width="5.7109375" customWidth="1"/>
    <col min="4841" max="4841" width="5.85546875" customWidth="1"/>
    <col min="4842" max="4842" width="7.85546875" customWidth="1"/>
    <col min="4847" max="4847" width="7.140625" customWidth="1"/>
    <col min="4848" max="4848" width="39.42578125" customWidth="1"/>
    <col min="4849" max="4849" width="6.7109375" customWidth="1"/>
    <col min="4850" max="4850" width="5.7109375" customWidth="1"/>
    <col min="4851" max="4851" width="5.85546875" customWidth="1"/>
    <col min="4852" max="4852" width="7.85546875" customWidth="1"/>
    <col min="4853" max="4853" width="14.28515625" customWidth="1"/>
    <col min="4854" max="4854" width="14" customWidth="1"/>
    <col min="4855" max="4855" width="10.140625" customWidth="1"/>
    <col min="4856" max="4856" width="11" customWidth="1"/>
    <col min="4857" max="4857" width="13.5703125" customWidth="1"/>
    <col min="4858" max="4858" width="8.7109375" customWidth="1"/>
    <col min="4859" max="4859" width="10.28515625" customWidth="1"/>
    <col min="4860" max="4860" width="15.28515625" customWidth="1"/>
    <col min="4861" max="4862" width="10.140625" customWidth="1"/>
    <col min="4863" max="4863" width="13.42578125" customWidth="1"/>
    <col min="4864" max="4865" width="10.140625" customWidth="1"/>
    <col min="4866" max="4866" width="12.42578125" customWidth="1"/>
    <col min="4867" max="4869" width="0" hidden="1" customWidth="1"/>
    <col min="4870" max="4870" width="11.5703125" customWidth="1"/>
    <col min="4871" max="4871" width="11.85546875" customWidth="1"/>
    <col min="4872" max="4872" width="15.7109375" customWidth="1"/>
    <col min="4873" max="4873" width="1.5703125" customWidth="1"/>
    <col min="4874" max="4874" width="10.5703125" customWidth="1"/>
    <col min="4875" max="4875" width="20.7109375" customWidth="1"/>
    <col min="4876" max="4876" width="2" customWidth="1"/>
    <col min="4877" max="4877" width="10.140625" customWidth="1"/>
    <col min="4878" max="4878" width="13.7109375" customWidth="1"/>
    <col min="4879" max="4879" width="9.42578125" customWidth="1"/>
    <col min="4880" max="4880" width="10.7109375" bestFit="1" customWidth="1"/>
    <col min="4881" max="4881" width="16.5703125" customWidth="1"/>
    <col min="4882" max="4882" width="16" customWidth="1"/>
    <col min="4883" max="5092" width="9.42578125" customWidth="1"/>
    <col min="5093" max="5093" width="7.140625" customWidth="1"/>
    <col min="5094" max="5094" width="35.28515625" customWidth="1"/>
    <col min="5095" max="5095" width="6.7109375" customWidth="1"/>
    <col min="5096" max="5096" width="5.7109375" customWidth="1"/>
    <col min="5097" max="5097" width="5.85546875" customWidth="1"/>
    <col min="5098" max="5098" width="7.85546875" customWidth="1"/>
    <col min="5103" max="5103" width="7.140625" customWidth="1"/>
    <col min="5104" max="5104" width="39.42578125" customWidth="1"/>
    <col min="5105" max="5105" width="6.7109375" customWidth="1"/>
    <col min="5106" max="5106" width="5.7109375" customWidth="1"/>
    <col min="5107" max="5107" width="5.85546875" customWidth="1"/>
    <col min="5108" max="5108" width="7.85546875" customWidth="1"/>
    <col min="5109" max="5109" width="14.28515625" customWidth="1"/>
    <col min="5110" max="5110" width="14" customWidth="1"/>
    <col min="5111" max="5111" width="10.140625" customWidth="1"/>
    <col min="5112" max="5112" width="11" customWidth="1"/>
    <col min="5113" max="5113" width="13.5703125" customWidth="1"/>
    <col min="5114" max="5114" width="8.7109375" customWidth="1"/>
    <col min="5115" max="5115" width="10.28515625" customWidth="1"/>
    <col min="5116" max="5116" width="15.28515625" customWidth="1"/>
    <col min="5117" max="5118" width="10.140625" customWidth="1"/>
    <col min="5119" max="5119" width="13.42578125" customWidth="1"/>
    <col min="5120" max="5121" width="10.140625" customWidth="1"/>
    <col min="5122" max="5122" width="12.42578125" customWidth="1"/>
    <col min="5123" max="5125" width="0" hidden="1" customWidth="1"/>
    <col min="5126" max="5126" width="11.5703125" customWidth="1"/>
    <col min="5127" max="5127" width="11.85546875" customWidth="1"/>
    <col min="5128" max="5128" width="15.7109375" customWidth="1"/>
    <col min="5129" max="5129" width="1.5703125" customWidth="1"/>
    <col min="5130" max="5130" width="10.5703125" customWidth="1"/>
    <col min="5131" max="5131" width="20.7109375" customWidth="1"/>
    <col min="5132" max="5132" width="2" customWidth="1"/>
    <col min="5133" max="5133" width="10.140625" customWidth="1"/>
    <col min="5134" max="5134" width="13.7109375" customWidth="1"/>
    <col min="5135" max="5135" width="9.42578125" customWidth="1"/>
    <col min="5136" max="5136" width="10.7109375" bestFit="1" customWidth="1"/>
    <col min="5137" max="5137" width="16.5703125" customWidth="1"/>
    <col min="5138" max="5138" width="16" customWidth="1"/>
    <col min="5139" max="5348" width="9.42578125" customWidth="1"/>
    <col min="5349" max="5349" width="7.140625" customWidth="1"/>
    <col min="5350" max="5350" width="35.28515625" customWidth="1"/>
    <col min="5351" max="5351" width="6.7109375" customWidth="1"/>
    <col min="5352" max="5352" width="5.7109375" customWidth="1"/>
    <col min="5353" max="5353" width="5.85546875" customWidth="1"/>
    <col min="5354" max="5354" width="7.85546875" customWidth="1"/>
    <col min="5359" max="5359" width="7.140625" customWidth="1"/>
    <col min="5360" max="5360" width="39.42578125" customWidth="1"/>
    <col min="5361" max="5361" width="6.7109375" customWidth="1"/>
    <col min="5362" max="5362" width="5.7109375" customWidth="1"/>
    <col min="5363" max="5363" width="5.85546875" customWidth="1"/>
    <col min="5364" max="5364" width="7.85546875" customWidth="1"/>
    <col min="5365" max="5365" width="14.28515625" customWidth="1"/>
    <col min="5366" max="5366" width="14" customWidth="1"/>
    <col min="5367" max="5367" width="10.140625" customWidth="1"/>
    <col min="5368" max="5368" width="11" customWidth="1"/>
    <col min="5369" max="5369" width="13.5703125" customWidth="1"/>
    <col min="5370" max="5370" width="8.7109375" customWidth="1"/>
    <col min="5371" max="5371" width="10.28515625" customWidth="1"/>
    <col min="5372" max="5372" width="15.28515625" customWidth="1"/>
    <col min="5373" max="5374" width="10.140625" customWidth="1"/>
    <col min="5375" max="5375" width="13.42578125" customWidth="1"/>
    <col min="5376" max="5377" width="10.140625" customWidth="1"/>
    <col min="5378" max="5378" width="12.42578125" customWidth="1"/>
    <col min="5379" max="5381" width="0" hidden="1" customWidth="1"/>
    <col min="5382" max="5382" width="11.5703125" customWidth="1"/>
    <col min="5383" max="5383" width="11.85546875" customWidth="1"/>
    <col min="5384" max="5384" width="15.7109375" customWidth="1"/>
    <col min="5385" max="5385" width="1.5703125" customWidth="1"/>
    <col min="5386" max="5386" width="10.5703125" customWidth="1"/>
    <col min="5387" max="5387" width="20.7109375" customWidth="1"/>
    <col min="5388" max="5388" width="2" customWidth="1"/>
    <col min="5389" max="5389" width="10.140625" customWidth="1"/>
    <col min="5390" max="5390" width="13.7109375" customWidth="1"/>
    <col min="5391" max="5391" width="9.42578125" customWidth="1"/>
    <col min="5392" max="5392" width="10.7109375" bestFit="1" customWidth="1"/>
    <col min="5393" max="5393" width="16.5703125" customWidth="1"/>
    <col min="5394" max="5394" width="16" customWidth="1"/>
    <col min="5395" max="5604" width="9.42578125" customWidth="1"/>
    <col min="5605" max="5605" width="7.140625" customWidth="1"/>
    <col min="5606" max="5606" width="35.28515625" customWidth="1"/>
    <col min="5607" max="5607" width="6.7109375" customWidth="1"/>
    <col min="5608" max="5608" width="5.7109375" customWidth="1"/>
    <col min="5609" max="5609" width="5.85546875" customWidth="1"/>
    <col min="5610" max="5610" width="7.85546875" customWidth="1"/>
    <col min="5615" max="5615" width="7.140625" customWidth="1"/>
    <col min="5616" max="5616" width="39.42578125" customWidth="1"/>
    <col min="5617" max="5617" width="6.7109375" customWidth="1"/>
    <col min="5618" max="5618" width="5.7109375" customWidth="1"/>
    <col min="5619" max="5619" width="5.85546875" customWidth="1"/>
    <col min="5620" max="5620" width="7.85546875" customWidth="1"/>
    <col min="5621" max="5621" width="14.28515625" customWidth="1"/>
    <col min="5622" max="5622" width="14" customWidth="1"/>
    <col min="5623" max="5623" width="10.140625" customWidth="1"/>
    <col min="5624" max="5624" width="11" customWidth="1"/>
    <col min="5625" max="5625" width="13.5703125" customWidth="1"/>
    <col min="5626" max="5626" width="8.7109375" customWidth="1"/>
    <col min="5627" max="5627" width="10.28515625" customWidth="1"/>
    <col min="5628" max="5628" width="15.28515625" customWidth="1"/>
    <col min="5629" max="5630" width="10.140625" customWidth="1"/>
    <col min="5631" max="5631" width="13.42578125" customWidth="1"/>
    <col min="5632" max="5633" width="10.140625" customWidth="1"/>
    <col min="5634" max="5634" width="12.42578125" customWidth="1"/>
    <col min="5635" max="5637" width="0" hidden="1" customWidth="1"/>
    <col min="5638" max="5638" width="11.5703125" customWidth="1"/>
    <col min="5639" max="5639" width="11.85546875" customWidth="1"/>
    <col min="5640" max="5640" width="15.7109375" customWidth="1"/>
    <col min="5641" max="5641" width="1.5703125" customWidth="1"/>
    <col min="5642" max="5642" width="10.5703125" customWidth="1"/>
    <col min="5643" max="5643" width="20.7109375" customWidth="1"/>
    <col min="5644" max="5644" width="2" customWidth="1"/>
    <col min="5645" max="5645" width="10.140625" customWidth="1"/>
    <col min="5646" max="5646" width="13.7109375" customWidth="1"/>
    <col min="5647" max="5647" width="9.42578125" customWidth="1"/>
    <col min="5648" max="5648" width="10.7109375" bestFit="1" customWidth="1"/>
    <col min="5649" max="5649" width="16.5703125" customWidth="1"/>
    <col min="5650" max="5650" width="16" customWidth="1"/>
    <col min="5651" max="5860" width="9.42578125" customWidth="1"/>
    <col min="5861" max="5861" width="7.140625" customWidth="1"/>
    <col min="5862" max="5862" width="35.28515625" customWidth="1"/>
    <col min="5863" max="5863" width="6.7109375" customWidth="1"/>
    <col min="5864" max="5864" width="5.7109375" customWidth="1"/>
    <col min="5865" max="5865" width="5.85546875" customWidth="1"/>
    <col min="5866" max="5866" width="7.85546875" customWidth="1"/>
    <col min="5871" max="5871" width="7.140625" customWidth="1"/>
    <col min="5872" max="5872" width="39.42578125" customWidth="1"/>
    <col min="5873" max="5873" width="6.7109375" customWidth="1"/>
    <col min="5874" max="5874" width="5.7109375" customWidth="1"/>
    <col min="5875" max="5875" width="5.85546875" customWidth="1"/>
    <col min="5876" max="5876" width="7.85546875" customWidth="1"/>
    <col min="5877" max="5877" width="14.28515625" customWidth="1"/>
    <col min="5878" max="5878" width="14" customWidth="1"/>
    <col min="5879" max="5879" width="10.140625" customWidth="1"/>
    <col min="5880" max="5880" width="11" customWidth="1"/>
    <col min="5881" max="5881" width="13.5703125" customWidth="1"/>
    <col min="5882" max="5882" width="8.7109375" customWidth="1"/>
    <col min="5883" max="5883" width="10.28515625" customWidth="1"/>
    <col min="5884" max="5884" width="15.28515625" customWidth="1"/>
    <col min="5885" max="5886" width="10.140625" customWidth="1"/>
    <col min="5887" max="5887" width="13.42578125" customWidth="1"/>
    <col min="5888" max="5889" width="10.140625" customWidth="1"/>
    <col min="5890" max="5890" width="12.42578125" customWidth="1"/>
    <col min="5891" max="5893" width="0" hidden="1" customWidth="1"/>
    <col min="5894" max="5894" width="11.5703125" customWidth="1"/>
    <col min="5895" max="5895" width="11.85546875" customWidth="1"/>
    <col min="5896" max="5896" width="15.7109375" customWidth="1"/>
    <col min="5897" max="5897" width="1.5703125" customWidth="1"/>
    <col min="5898" max="5898" width="10.5703125" customWidth="1"/>
    <col min="5899" max="5899" width="20.7109375" customWidth="1"/>
    <col min="5900" max="5900" width="2" customWidth="1"/>
    <col min="5901" max="5901" width="10.140625" customWidth="1"/>
    <col min="5902" max="5902" width="13.7109375" customWidth="1"/>
    <col min="5903" max="5903" width="9.42578125" customWidth="1"/>
    <col min="5904" max="5904" width="10.7109375" bestFit="1" customWidth="1"/>
    <col min="5905" max="5905" width="16.5703125" customWidth="1"/>
    <col min="5906" max="5906" width="16" customWidth="1"/>
    <col min="5907" max="6116" width="9.42578125" customWidth="1"/>
    <col min="6117" max="6117" width="7.140625" customWidth="1"/>
    <col min="6118" max="6118" width="35.28515625" customWidth="1"/>
    <col min="6119" max="6119" width="6.7109375" customWidth="1"/>
    <col min="6120" max="6120" width="5.7109375" customWidth="1"/>
    <col min="6121" max="6121" width="5.85546875" customWidth="1"/>
    <col min="6122" max="6122" width="7.85546875" customWidth="1"/>
    <col min="6127" max="6127" width="7.140625" customWidth="1"/>
    <col min="6128" max="6128" width="39.42578125" customWidth="1"/>
    <col min="6129" max="6129" width="6.7109375" customWidth="1"/>
    <col min="6130" max="6130" width="5.7109375" customWidth="1"/>
    <col min="6131" max="6131" width="5.85546875" customWidth="1"/>
    <col min="6132" max="6132" width="7.85546875" customWidth="1"/>
    <col min="6133" max="6133" width="14.28515625" customWidth="1"/>
    <col min="6134" max="6134" width="14" customWidth="1"/>
    <col min="6135" max="6135" width="10.140625" customWidth="1"/>
    <col min="6136" max="6136" width="11" customWidth="1"/>
    <col min="6137" max="6137" width="13.5703125" customWidth="1"/>
    <col min="6138" max="6138" width="8.7109375" customWidth="1"/>
    <col min="6139" max="6139" width="10.28515625" customWidth="1"/>
    <col min="6140" max="6140" width="15.28515625" customWidth="1"/>
    <col min="6141" max="6142" width="10.140625" customWidth="1"/>
    <col min="6143" max="6143" width="13.42578125" customWidth="1"/>
    <col min="6144" max="6145" width="10.140625" customWidth="1"/>
    <col min="6146" max="6146" width="12.42578125" customWidth="1"/>
    <col min="6147" max="6149" width="0" hidden="1" customWidth="1"/>
    <col min="6150" max="6150" width="11.5703125" customWidth="1"/>
    <col min="6151" max="6151" width="11.85546875" customWidth="1"/>
    <col min="6152" max="6152" width="15.7109375" customWidth="1"/>
    <col min="6153" max="6153" width="1.5703125" customWidth="1"/>
    <col min="6154" max="6154" width="10.5703125" customWidth="1"/>
    <col min="6155" max="6155" width="20.7109375" customWidth="1"/>
    <col min="6156" max="6156" width="2" customWidth="1"/>
    <col min="6157" max="6157" width="10.140625" customWidth="1"/>
    <col min="6158" max="6158" width="13.7109375" customWidth="1"/>
    <col min="6159" max="6159" width="9.42578125" customWidth="1"/>
    <col min="6160" max="6160" width="10.7109375" bestFit="1" customWidth="1"/>
    <col min="6161" max="6161" width="16.5703125" customWidth="1"/>
    <col min="6162" max="6162" width="16" customWidth="1"/>
    <col min="6163" max="6372" width="9.42578125" customWidth="1"/>
    <col min="6373" max="6373" width="7.140625" customWidth="1"/>
    <col min="6374" max="6374" width="35.28515625" customWidth="1"/>
    <col min="6375" max="6375" width="6.7109375" customWidth="1"/>
    <col min="6376" max="6376" width="5.7109375" customWidth="1"/>
    <col min="6377" max="6377" width="5.85546875" customWidth="1"/>
    <col min="6378" max="6378" width="7.85546875" customWidth="1"/>
    <col min="6383" max="6383" width="7.140625" customWidth="1"/>
    <col min="6384" max="6384" width="39.42578125" customWidth="1"/>
    <col min="6385" max="6385" width="6.7109375" customWidth="1"/>
    <col min="6386" max="6386" width="5.7109375" customWidth="1"/>
    <col min="6387" max="6387" width="5.85546875" customWidth="1"/>
    <col min="6388" max="6388" width="7.85546875" customWidth="1"/>
    <col min="6389" max="6389" width="14.28515625" customWidth="1"/>
    <col min="6390" max="6390" width="14" customWidth="1"/>
    <col min="6391" max="6391" width="10.140625" customWidth="1"/>
    <col min="6392" max="6392" width="11" customWidth="1"/>
    <col min="6393" max="6393" width="13.5703125" customWidth="1"/>
    <col min="6394" max="6394" width="8.7109375" customWidth="1"/>
    <col min="6395" max="6395" width="10.28515625" customWidth="1"/>
    <col min="6396" max="6396" width="15.28515625" customWidth="1"/>
    <col min="6397" max="6398" width="10.140625" customWidth="1"/>
    <col min="6399" max="6399" width="13.42578125" customWidth="1"/>
    <col min="6400" max="6401" width="10.140625" customWidth="1"/>
    <col min="6402" max="6402" width="12.42578125" customWidth="1"/>
    <col min="6403" max="6405" width="0" hidden="1" customWidth="1"/>
    <col min="6406" max="6406" width="11.5703125" customWidth="1"/>
    <col min="6407" max="6407" width="11.85546875" customWidth="1"/>
    <col min="6408" max="6408" width="15.7109375" customWidth="1"/>
    <col min="6409" max="6409" width="1.5703125" customWidth="1"/>
    <col min="6410" max="6410" width="10.5703125" customWidth="1"/>
    <col min="6411" max="6411" width="20.7109375" customWidth="1"/>
    <col min="6412" max="6412" width="2" customWidth="1"/>
    <col min="6413" max="6413" width="10.140625" customWidth="1"/>
    <col min="6414" max="6414" width="13.7109375" customWidth="1"/>
    <col min="6415" max="6415" width="9.42578125" customWidth="1"/>
    <col min="6416" max="6416" width="10.7109375" bestFit="1" customWidth="1"/>
    <col min="6417" max="6417" width="16.5703125" customWidth="1"/>
    <col min="6418" max="6418" width="16" customWidth="1"/>
    <col min="6419" max="6628" width="9.42578125" customWidth="1"/>
    <col min="6629" max="6629" width="7.140625" customWidth="1"/>
    <col min="6630" max="6630" width="35.28515625" customWidth="1"/>
    <col min="6631" max="6631" width="6.7109375" customWidth="1"/>
    <col min="6632" max="6632" width="5.7109375" customWidth="1"/>
    <col min="6633" max="6633" width="5.85546875" customWidth="1"/>
    <col min="6634" max="6634" width="7.85546875" customWidth="1"/>
    <col min="6639" max="6639" width="7.140625" customWidth="1"/>
    <col min="6640" max="6640" width="39.42578125" customWidth="1"/>
    <col min="6641" max="6641" width="6.7109375" customWidth="1"/>
    <col min="6642" max="6642" width="5.7109375" customWidth="1"/>
    <col min="6643" max="6643" width="5.85546875" customWidth="1"/>
    <col min="6644" max="6644" width="7.85546875" customWidth="1"/>
    <col min="6645" max="6645" width="14.28515625" customWidth="1"/>
    <col min="6646" max="6646" width="14" customWidth="1"/>
    <col min="6647" max="6647" width="10.140625" customWidth="1"/>
    <col min="6648" max="6648" width="11" customWidth="1"/>
    <col min="6649" max="6649" width="13.5703125" customWidth="1"/>
    <col min="6650" max="6650" width="8.7109375" customWidth="1"/>
    <col min="6651" max="6651" width="10.28515625" customWidth="1"/>
    <col min="6652" max="6652" width="15.28515625" customWidth="1"/>
    <col min="6653" max="6654" width="10.140625" customWidth="1"/>
    <col min="6655" max="6655" width="13.42578125" customWidth="1"/>
    <col min="6656" max="6657" width="10.140625" customWidth="1"/>
    <col min="6658" max="6658" width="12.42578125" customWidth="1"/>
    <col min="6659" max="6661" width="0" hidden="1" customWidth="1"/>
    <col min="6662" max="6662" width="11.5703125" customWidth="1"/>
    <col min="6663" max="6663" width="11.85546875" customWidth="1"/>
    <col min="6664" max="6664" width="15.7109375" customWidth="1"/>
    <col min="6665" max="6665" width="1.5703125" customWidth="1"/>
    <col min="6666" max="6666" width="10.5703125" customWidth="1"/>
    <col min="6667" max="6667" width="20.7109375" customWidth="1"/>
    <col min="6668" max="6668" width="2" customWidth="1"/>
    <col min="6669" max="6669" width="10.140625" customWidth="1"/>
    <col min="6670" max="6670" width="13.7109375" customWidth="1"/>
    <col min="6671" max="6671" width="9.42578125" customWidth="1"/>
    <col min="6672" max="6672" width="10.7109375" bestFit="1" customWidth="1"/>
    <col min="6673" max="6673" width="16.5703125" customWidth="1"/>
    <col min="6674" max="6674" width="16" customWidth="1"/>
    <col min="6675" max="6884" width="9.42578125" customWidth="1"/>
    <col min="6885" max="6885" width="7.140625" customWidth="1"/>
    <col min="6886" max="6886" width="35.28515625" customWidth="1"/>
    <col min="6887" max="6887" width="6.7109375" customWidth="1"/>
    <col min="6888" max="6888" width="5.7109375" customWidth="1"/>
    <col min="6889" max="6889" width="5.85546875" customWidth="1"/>
    <col min="6890" max="6890" width="7.85546875" customWidth="1"/>
    <col min="6895" max="6895" width="7.140625" customWidth="1"/>
    <col min="6896" max="6896" width="39.42578125" customWidth="1"/>
    <col min="6897" max="6897" width="6.7109375" customWidth="1"/>
    <col min="6898" max="6898" width="5.7109375" customWidth="1"/>
    <col min="6899" max="6899" width="5.85546875" customWidth="1"/>
    <col min="6900" max="6900" width="7.85546875" customWidth="1"/>
    <col min="6901" max="6901" width="14.28515625" customWidth="1"/>
    <col min="6902" max="6902" width="14" customWidth="1"/>
    <col min="6903" max="6903" width="10.140625" customWidth="1"/>
    <col min="6904" max="6904" width="11" customWidth="1"/>
    <col min="6905" max="6905" width="13.5703125" customWidth="1"/>
    <col min="6906" max="6906" width="8.7109375" customWidth="1"/>
    <col min="6907" max="6907" width="10.28515625" customWidth="1"/>
    <col min="6908" max="6908" width="15.28515625" customWidth="1"/>
    <col min="6909" max="6910" width="10.140625" customWidth="1"/>
    <col min="6911" max="6911" width="13.42578125" customWidth="1"/>
    <col min="6912" max="6913" width="10.140625" customWidth="1"/>
    <col min="6914" max="6914" width="12.42578125" customWidth="1"/>
    <col min="6915" max="6917" width="0" hidden="1" customWidth="1"/>
    <col min="6918" max="6918" width="11.5703125" customWidth="1"/>
    <col min="6919" max="6919" width="11.85546875" customWidth="1"/>
    <col min="6920" max="6920" width="15.7109375" customWidth="1"/>
    <col min="6921" max="6921" width="1.5703125" customWidth="1"/>
    <col min="6922" max="6922" width="10.5703125" customWidth="1"/>
    <col min="6923" max="6923" width="20.7109375" customWidth="1"/>
    <col min="6924" max="6924" width="2" customWidth="1"/>
    <col min="6925" max="6925" width="10.140625" customWidth="1"/>
    <col min="6926" max="6926" width="13.7109375" customWidth="1"/>
    <col min="6927" max="6927" width="9.42578125" customWidth="1"/>
    <col min="6928" max="6928" width="10.7109375" bestFit="1" customWidth="1"/>
    <col min="6929" max="6929" width="16.5703125" customWidth="1"/>
    <col min="6930" max="6930" width="16" customWidth="1"/>
    <col min="6931" max="7140" width="9.42578125" customWidth="1"/>
    <col min="7141" max="7141" width="7.140625" customWidth="1"/>
    <col min="7142" max="7142" width="35.28515625" customWidth="1"/>
    <col min="7143" max="7143" width="6.7109375" customWidth="1"/>
    <col min="7144" max="7144" width="5.7109375" customWidth="1"/>
    <col min="7145" max="7145" width="5.85546875" customWidth="1"/>
    <col min="7146" max="7146" width="7.85546875" customWidth="1"/>
    <col min="7151" max="7151" width="7.140625" customWidth="1"/>
    <col min="7152" max="7152" width="39.42578125" customWidth="1"/>
    <col min="7153" max="7153" width="6.7109375" customWidth="1"/>
    <col min="7154" max="7154" width="5.7109375" customWidth="1"/>
    <col min="7155" max="7155" width="5.85546875" customWidth="1"/>
    <col min="7156" max="7156" width="7.85546875" customWidth="1"/>
    <col min="7157" max="7157" width="14.28515625" customWidth="1"/>
    <col min="7158" max="7158" width="14" customWidth="1"/>
    <col min="7159" max="7159" width="10.140625" customWidth="1"/>
    <col min="7160" max="7160" width="11" customWidth="1"/>
    <col min="7161" max="7161" width="13.5703125" customWidth="1"/>
    <col min="7162" max="7162" width="8.7109375" customWidth="1"/>
    <col min="7163" max="7163" width="10.28515625" customWidth="1"/>
    <col min="7164" max="7164" width="15.28515625" customWidth="1"/>
    <col min="7165" max="7166" width="10.140625" customWidth="1"/>
    <col min="7167" max="7167" width="13.42578125" customWidth="1"/>
    <col min="7168" max="7169" width="10.140625" customWidth="1"/>
    <col min="7170" max="7170" width="12.42578125" customWidth="1"/>
    <col min="7171" max="7173" width="0" hidden="1" customWidth="1"/>
    <col min="7174" max="7174" width="11.5703125" customWidth="1"/>
    <col min="7175" max="7175" width="11.85546875" customWidth="1"/>
    <col min="7176" max="7176" width="15.7109375" customWidth="1"/>
    <col min="7177" max="7177" width="1.5703125" customWidth="1"/>
    <col min="7178" max="7178" width="10.5703125" customWidth="1"/>
    <col min="7179" max="7179" width="20.7109375" customWidth="1"/>
    <col min="7180" max="7180" width="2" customWidth="1"/>
    <col min="7181" max="7181" width="10.140625" customWidth="1"/>
    <col min="7182" max="7182" width="13.7109375" customWidth="1"/>
    <col min="7183" max="7183" width="9.42578125" customWidth="1"/>
    <col min="7184" max="7184" width="10.7109375" bestFit="1" customWidth="1"/>
    <col min="7185" max="7185" width="16.5703125" customWidth="1"/>
    <col min="7186" max="7186" width="16" customWidth="1"/>
    <col min="7187" max="7396" width="9.42578125" customWidth="1"/>
    <col min="7397" max="7397" width="7.140625" customWidth="1"/>
    <col min="7398" max="7398" width="35.28515625" customWidth="1"/>
    <col min="7399" max="7399" width="6.7109375" customWidth="1"/>
    <col min="7400" max="7400" width="5.7109375" customWidth="1"/>
    <col min="7401" max="7401" width="5.85546875" customWidth="1"/>
    <col min="7402" max="7402" width="7.85546875" customWidth="1"/>
    <col min="7407" max="7407" width="7.140625" customWidth="1"/>
    <col min="7408" max="7408" width="39.42578125" customWidth="1"/>
    <col min="7409" max="7409" width="6.7109375" customWidth="1"/>
    <col min="7410" max="7410" width="5.7109375" customWidth="1"/>
    <col min="7411" max="7411" width="5.85546875" customWidth="1"/>
    <col min="7412" max="7412" width="7.85546875" customWidth="1"/>
    <col min="7413" max="7413" width="14.28515625" customWidth="1"/>
    <col min="7414" max="7414" width="14" customWidth="1"/>
    <col min="7415" max="7415" width="10.140625" customWidth="1"/>
    <col min="7416" max="7416" width="11" customWidth="1"/>
    <col min="7417" max="7417" width="13.5703125" customWidth="1"/>
    <col min="7418" max="7418" width="8.7109375" customWidth="1"/>
    <col min="7419" max="7419" width="10.28515625" customWidth="1"/>
    <col min="7420" max="7420" width="15.28515625" customWidth="1"/>
    <col min="7421" max="7422" width="10.140625" customWidth="1"/>
    <col min="7423" max="7423" width="13.42578125" customWidth="1"/>
    <col min="7424" max="7425" width="10.140625" customWidth="1"/>
    <col min="7426" max="7426" width="12.42578125" customWidth="1"/>
    <col min="7427" max="7429" width="0" hidden="1" customWidth="1"/>
    <col min="7430" max="7430" width="11.5703125" customWidth="1"/>
    <col min="7431" max="7431" width="11.85546875" customWidth="1"/>
    <col min="7432" max="7432" width="15.7109375" customWidth="1"/>
    <col min="7433" max="7433" width="1.5703125" customWidth="1"/>
    <col min="7434" max="7434" width="10.5703125" customWidth="1"/>
    <col min="7435" max="7435" width="20.7109375" customWidth="1"/>
    <col min="7436" max="7436" width="2" customWidth="1"/>
    <col min="7437" max="7437" width="10.140625" customWidth="1"/>
    <col min="7438" max="7438" width="13.7109375" customWidth="1"/>
    <col min="7439" max="7439" width="9.42578125" customWidth="1"/>
    <col min="7440" max="7440" width="10.7109375" bestFit="1" customWidth="1"/>
    <col min="7441" max="7441" width="16.5703125" customWidth="1"/>
    <col min="7442" max="7442" width="16" customWidth="1"/>
    <col min="7443" max="7652" width="9.42578125" customWidth="1"/>
    <col min="7653" max="7653" width="7.140625" customWidth="1"/>
    <col min="7654" max="7654" width="35.28515625" customWidth="1"/>
    <col min="7655" max="7655" width="6.7109375" customWidth="1"/>
    <col min="7656" max="7656" width="5.7109375" customWidth="1"/>
    <col min="7657" max="7657" width="5.85546875" customWidth="1"/>
    <col min="7658" max="7658" width="7.85546875" customWidth="1"/>
    <col min="7663" max="7663" width="7.140625" customWidth="1"/>
    <col min="7664" max="7664" width="39.42578125" customWidth="1"/>
    <col min="7665" max="7665" width="6.7109375" customWidth="1"/>
    <col min="7666" max="7666" width="5.7109375" customWidth="1"/>
    <col min="7667" max="7667" width="5.85546875" customWidth="1"/>
    <col min="7668" max="7668" width="7.85546875" customWidth="1"/>
    <col min="7669" max="7669" width="14.28515625" customWidth="1"/>
    <col min="7670" max="7670" width="14" customWidth="1"/>
    <col min="7671" max="7671" width="10.140625" customWidth="1"/>
    <col min="7672" max="7672" width="11" customWidth="1"/>
    <col min="7673" max="7673" width="13.5703125" customWidth="1"/>
    <col min="7674" max="7674" width="8.7109375" customWidth="1"/>
    <col min="7675" max="7675" width="10.28515625" customWidth="1"/>
    <col min="7676" max="7676" width="15.28515625" customWidth="1"/>
    <col min="7677" max="7678" width="10.140625" customWidth="1"/>
    <col min="7679" max="7679" width="13.42578125" customWidth="1"/>
    <col min="7680" max="7681" width="10.140625" customWidth="1"/>
    <col min="7682" max="7682" width="12.42578125" customWidth="1"/>
    <col min="7683" max="7685" width="0" hidden="1" customWidth="1"/>
    <col min="7686" max="7686" width="11.5703125" customWidth="1"/>
    <col min="7687" max="7687" width="11.85546875" customWidth="1"/>
    <col min="7688" max="7688" width="15.7109375" customWidth="1"/>
    <col min="7689" max="7689" width="1.5703125" customWidth="1"/>
    <col min="7690" max="7690" width="10.5703125" customWidth="1"/>
    <col min="7691" max="7691" width="20.7109375" customWidth="1"/>
    <col min="7692" max="7692" width="2" customWidth="1"/>
    <col min="7693" max="7693" width="10.140625" customWidth="1"/>
    <col min="7694" max="7694" width="13.7109375" customWidth="1"/>
    <col min="7695" max="7695" width="9.42578125" customWidth="1"/>
    <col min="7696" max="7696" width="10.7109375" bestFit="1" customWidth="1"/>
    <col min="7697" max="7697" width="16.5703125" customWidth="1"/>
    <col min="7698" max="7698" width="16" customWidth="1"/>
    <col min="7699" max="7908" width="9.42578125" customWidth="1"/>
    <col min="7909" max="7909" width="7.140625" customWidth="1"/>
    <col min="7910" max="7910" width="35.28515625" customWidth="1"/>
    <col min="7911" max="7911" width="6.7109375" customWidth="1"/>
    <col min="7912" max="7912" width="5.7109375" customWidth="1"/>
    <col min="7913" max="7913" width="5.85546875" customWidth="1"/>
    <col min="7914" max="7914" width="7.85546875" customWidth="1"/>
    <col min="7919" max="7919" width="7.140625" customWidth="1"/>
    <col min="7920" max="7920" width="39.42578125" customWidth="1"/>
    <col min="7921" max="7921" width="6.7109375" customWidth="1"/>
    <col min="7922" max="7922" width="5.7109375" customWidth="1"/>
    <col min="7923" max="7923" width="5.85546875" customWidth="1"/>
    <col min="7924" max="7924" width="7.85546875" customWidth="1"/>
    <col min="7925" max="7925" width="14.28515625" customWidth="1"/>
    <col min="7926" max="7926" width="14" customWidth="1"/>
    <col min="7927" max="7927" width="10.140625" customWidth="1"/>
    <col min="7928" max="7928" width="11" customWidth="1"/>
    <col min="7929" max="7929" width="13.5703125" customWidth="1"/>
    <col min="7930" max="7930" width="8.7109375" customWidth="1"/>
    <col min="7931" max="7931" width="10.28515625" customWidth="1"/>
    <col min="7932" max="7932" width="15.28515625" customWidth="1"/>
    <col min="7933" max="7934" width="10.140625" customWidth="1"/>
    <col min="7935" max="7935" width="13.42578125" customWidth="1"/>
    <col min="7936" max="7937" width="10.140625" customWidth="1"/>
    <col min="7938" max="7938" width="12.42578125" customWidth="1"/>
    <col min="7939" max="7941" width="0" hidden="1" customWidth="1"/>
    <col min="7942" max="7942" width="11.5703125" customWidth="1"/>
    <col min="7943" max="7943" width="11.85546875" customWidth="1"/>
    <col min="7944" max="7944" width="15.7109375" customWidth="1"/>
    <col min="7945" max="7945" width="1.5703125" customWidth="1"/>
    <col min="7946" max="7946" width="10.5703125" customWidth="1"/>
    <col min="7947" max="7947" width="20.7109375" customWidth="1"/>
    <col min="7948" max="7948" width="2" customWidth="1"/>
    <col min="7949" max="7949" width="10.140625" customWidth="1"/>
    <col min="7950" max="7950" width="13.7109375" customWidth="1"/>
    <col min="7951" max="7951" width="9.42578125" customWidth="1"/>
    <col min="7952" max="7952" width="10.7109375" bestFit="1" customWidth="1"/>
    <col min="7953" max="7953" width="16.5703125" customWidth="1"/>
    <col min="7954" max="7954" width="16" customWidth="1"/>
    <col min="7955" max="8164" width="9.42578125" customWidth="1"/>
    <col min="8165" max="8165" width="7.140625" customWidth="1"/>
    <col min="8166" max="8166" width="35.28515625" customWidth="1"/>
    <col min="8167" max="8167" width="6.7109375" customWidth="1"/>
    <col min="8168" max="8168" width="5.7109375" customWidth="1"/>
    <col min="8169" max="8169" width="5.85546875" customWidth="1"/>
    <col min="8170" max="8170" width="7.85546875" customWidth="1"/>
    <col min="8175" max="8175" width="7.140625" customWidth="1"/>
    <col min="8176" max="8176" width="39.42578125" customWidth="1"/>
    <col min="8177" max="8177" width="6.7109375" customWidth="1"/>
    <col min="8178" max="8178" width="5.7109375" customWidth="1"/>
    <col min="8179" max="8179" width="5.85546875" customWidth="1"/>
    <col min="8180" max="8180" width="7.85546875" customWidth="1"/>
    <col min="8181" max="8181" width="14.28515625" customWidth="1"/>
    <col min="8182" max="8182" width="14" customWidth="1"/>
    <col min="8183" max="8183" width="10.140625" customWidth="1"/>
    <col min="8184" max="8184" width="11" customWidth="1"/>
    <col min="8185" max="8185" width="13.5703125" customWidth="1"/>
    <col min="8186" max="8186" width="8.7109375" customWidth="1"/>
    <col min="8187" max="8187" width="10.28515625" customWidth="1"/>
    <col min="8188" max="8188" width="15.28515625" customWidth="1"/>
    <col min="8189" max="8190" width="10.140625" customWidth="1"/>
    <col min="8191" max="8191" width="13.42578125" customWidth="1"/>
    <col min="8192" max="8193" width="10.140625" customWidth="1"/>
    <col min="8194" max="8194" width="12.42578125" customWidth="1"/>
    <col min="8195" max="8197" width="0" hidden="1" customWidth="1"/>
    <col min="8198" max="8198" width="11.5703125" customWidth="1"/>
    <col min="8199" max="8199" width="11.85546875" customWidth="1"/>
    <col min="8200" max="8200" width="15.7109375" customWidth="1"/>
    <col min="8201" max="8201" width="1.5703125" customWidth="1"/>
    <col min="8202" max="8202" width="10.5703125" customWidth="1"/>
    <col min="8203" max="8203" width="20.7109375" customWidth="1"/>
    <col min="8204" max="8204" width="2" customWidth="1"/>
    <col min="8205" max="8205" width="10.140625" customWidth="1"/>
    <col min="8206" max="8206" width="13.7109375" customWidth="1"/>
    <col min="8207" max="8207" width="9.42578125" customWidth="1"/>
    <col min="8208" max="8208" width="10.7109375" bestFit="1" customWidth="1"/>
    <col min="8209" max="8209" width="16.5703125" customWidth="1"/>
    <col min="8210" max="8210" width="16" customWidth="1"/>
    <col min="8211" max="8420" width="9.42578125" customWidth="1"/>
    <col min="8421" max="8421" width="7.140625" customWidth="1"/>
    <col min="8422" max="8422" width="35.28515625" customWidth="1"/>
    <col min="8423" max="8423" width="6.7109375" customWidth="1"/>
    <col min="8424" max="8424" width="5.7109375" customWidth="1"/>
    <col min="8425" max="8425" width="5.85546875" customWidth="1"/>
    <col min="8426" max="8426" width="7.85546875" customWidth="1"/>
    <col min="8431" max="8431" width="7.140625" customWidth="1"/>
    <col min="8432" max="8432" width="39.42578125" customWidth="1"/>
    <col min="8433" max="8433" width="6.7109375" customWidth="1"/>
    <col min="8434" max="8434" width="5.7109375" customWidth="1"/>
    <col min="8435" max="8435" width="5.85546875" customWidth="1"/>
    <col min="8436" max="8436" width="7.85546875" customWidth="1"/>
    <col min="8437" max="8437" width="14.28515625" customWidth="1"/>
    <col min="8438" max="8438" width="14" customWidth="1"/>
    <col min="8439" max="8439" width="10.140625" customWidth="1"/>
    <col min="8440" max="8440" width="11" customWidth="1"/>
    <col min="8441" max="8441" width="13.5703125" customWidth="1"/>
    <col min="8442" max="8442" width="8.7109375" customWidth="1"/>
    <col min="8443" max="8443" width="10.28515625" customWidth="1"/>
    <col min="8444" max="8444" width="15.28515625" customWidth="1"/>
    <col min="8445" max="8446" width="10.140625" customWidth="1"/>
    <col min="8447" max="8447" width="13.42578125" customWidth="1"/>
    <col min="8448" max="8449" width="10.140625" customWidth="1"/>
    <col min="8450" max="8450" width="12.42578125" customWidth="1"/>
    <col min="8451" max="8453" width="0" hidden="1" customWidth="1"/>
    <col min="8454" max="8454" width="11.5703125" customWidth="1"/>
    <col min="8455" max="8455" width="11.85546875" customWidth="1"/>
    <col min="8456" max="8456" width="15.7109375" customWidth="1"/>
    <col min="8457" max="8457" width="1.5703125" customWidth="1"/>
    <col min="8458" max="8458" width="10.5703125" customWidth="1"/>
    <col min="8459" max="8459" width="20.7109375" customWidth="1"/>
    <col min="8460" max="8460" width="2" customWidth="1"/>
    <col min="8461" max="8461" width="10.140625" customWidth="1"/>
    <col min="8462" max="8462" width="13.7109375" customWidth="1"/>
    <col min="8463" max="8463" width="9.42578125" customWidth="1"/>
    <col min="8464" max="8464" width="10.7109375" bestFit="1" customWidth="1"/>
    <col min="8465" max="8465" width="16.5703125" customWidth="1"/>
    <col min="8466" max="8466" width="16" customWidth="1"/>
    <col min="8467" max="8676" width="9.42578125" customWidth="1"/>
    <col min="8677" max="8677" width="7.140625" customWidth="1"/>
    <col min="8678" max="8678" width="35.28515625" customWidth="1"/>
    <col min="8679" max="8679" width="6.7109375" customWidth="1"/>
    <col min="8680" max="8680" width="5.7109375" customWidth="1"/>
    <col min="8681" max="8681" width="5.85546875" customWidth="1"/>
    <col min="8682" max="8682" width="7.85546875" customWidth="1"/>
    <col min="8687" max="8687" width="7.140625" customWidth="1"/>
    <col min="8688" max="8688" width="39.42578125" customWidth="1"/>
    <col min="8689" max="8689" width="6.7109375" customWidth="1"/>
    <col min="8690" max="8690" width="5.7109375" customWidth="1"/>
    <col min="8691" max="8691" width="5.85546875" customWidth="1"/>
    <col min="8692" max="8692" width="7.85546875" customWidth="1"/>
    <col min="8693" max="8693" width="14.28515625" customWidth="1"/>
    <col min="8694" max="8694" width="14" customWidth="1"/>
    <col min="8695" max="8695" width="10.140625" customWidth="1"/>
    <col min="8696" max="8696" width="11" customWidth="1"/>
    <col min="8697" max="8697" width="13.5703125" customWidth="1"/>
    <col min="8698" max="8698" width="8.7109375" customWidth="1"/>
    <col min="8699" max="8699" width="10.28515625" customWidth="1"/>
    <col min="8700" max="8700" width="15.28515625" customWidth="1"/>
    <col min="8701" max="8702" width="10.140625" customWidth="1"/>
    <col min="8703" max="8703" width="13.42578125" customWidth="1"/>
    <col min="8704" max="8705" width="10.140625" customWidth="1"/>
    <col min="8706" max="8706" width="12.42578125" customWidth="1"/>
    <col min="8707" max="8709" width="0" hidden="1" customWidth="1"/>
    <col min="8710" max="8710" width="11.5703125" customWidth="1"/>
    <col min="8711" max="8711" width="11.85546875" customWidth="1"/>
    <col min="8712" max="8712" width="15.7109375" customWidth="1"/>
    <col min="8713" max="8713" width="1.5703125" customWidth="1"/>
    <col min="8714" max="8714" width="10.5703125" customWidth="1"/>
    <col min="8715" max="8715" width="20.7109375" customWidth="1"/>
    <col min="8716" max="8716" width="2" customWidth="1"/>
    <col min="8717" max="8717" width="10.140625" customWidth="1"/>
    <col min="8718" max="8718" width="13.7109375" customWidth="1"/>
    <col min="8719" max="8719" width="9.42578125" customWidth="1"/>
    <col min="8720" max="8720" width="10.7109375" bestFit="1" customWidth="1"/>
    <col min="8721" max="8721" width="16.5703125" customWidth="1"/>
    <col min="8722" max="8722" width="16" customWidth="1"/>
    <col min="8723" max="8932" width="9.42578125" customWidth="1"/>
    <col min="8933" max="8933" width="7.140625" customWidth="1"/>
    <col min="8934" max="8934" width="35.28515625" customWidth="1"/>
    <col min="8935" max="8935" width="6.7109375" customWidth="1"/>
    <col min="8936" max="8936" width="5.7109375" customWidth="1"/>
    <col min="8937" max="8937" width="5.85546875" customWidth="1"/>
    <col min="8938" max="8938" width="7.85546875" customWidth="1"/>
    <col min="8943" max="8943" width="7.140625" customWidth="1"/>
    <col min="8944" max="8944" width="39.42578125" customWidth="1"/>
    <col min="8945" max="8945" width="6.7109375" customWidth="1"/>
    <col min="8946" max="8946" width="5.7109375" customWidth="1"/>
    <col min="8947" max="8947" width="5.85546875" customWidth="1"/>
    <col min="8948" max="8948" width="7.85546875" customWidth="1"/>
    <col min="8949" max="8949" width="14.28515625" customWidth="1"/>
    <col min="8950" max="8950" width="14" customWidth="1"/>
    <col min="8951" max="8951" width="10.140625" customWidth="1"/>
    <col min="8952" max="8952" width="11" customWidth="1"/>
    <col min="8953" max="8953" width="13.5703125" customWidth="1"/>
    <col min="8954" max="8954" width="8.7109375" customWidth="1"/>
    <col min="8955" max="8955" width="10.28515625" customWidth="1"/>
    <col min="8956" max="8956" width="15.28515625" customWidth="1"/>
    <col min="8957" max="8958" width="10.140625" customWidth="1"/>
    <col min="8959" max="8959" width="13.42578125" customWidth="1"/>
    <col min="8960" max="8961" width="10.140625" customWidth="1"/>
    <col min="8962" max="8962" width="12.42578125" customWidth="1"/>
    <col min="8963" max="8965" width="0" hidden="1" customWidth="1"/>
    <col min="8966" max="8966" width="11.5703125" customWidth="1"/>
    <col min="8967" max="8967" width="11.85546875" customWidth="1"/>
    <col min="8968" max="8968" width="15.7109375" customWidth="1"/>
    <col min="8969" max="8969" width="1.5703125" customWidth="1"/>
    <col min="8970" max="8970" width="10.5703125" customWidth="1"/>
    <col min="8971" max="8971" width="20.7109375" customWidth="1"/>
    <col min="8972" max="8972" width="2" customWidth="1"/>
    <col min="8973" max="8973" width="10.140625" customWidth="1"/>
    <col min="8974" max="8974" width="13.7109375" customWidth="1"/>
    <col min="8975" max="8975" width="9.42578125" customWidth="1"/>
    <col min="8976" max="8976" width="10.7109375" bestFit="1" customWidth="1"/>
    <col min="8977" max="8977" width="16.5703125" customWidth="1"/>
    <col min="8978" max="8978" width="16" customWidth="1"/>
    <col min="8979" max="9188" width="9.42578125" customWidth="1"/>
    <col min="9189" max="9189" width="7.140625" customWidth="1"/>
    <col min="9190" max="9190" width="35.28515625" customWidth="1"/>
    <col min="9191" max="9191" width="6.7109375" customWidth="1"/>
    <col min="9192" max="9192" width="5.7109375" customWidth="1"/>
    <col min="9193" max="9193" width="5.85546875" customWidth="1"/>
    <col min="9194" max="9194" width="7.85546875" customWidth="1"/>
    <col min="9199" max="9199" width="7.140625" customWidth="1"/>
    <col min="9200" max="9200" width="39.42578125" customWidth="1"/>
    <col min="9201" max="9201" width="6.7109375" customWidth="1"/>
    <col min="9202" max="9202" width="5.7109375" customWidth="1"/>
    <col min="9203" max="9203" width="5.85546875" customWidth="1"/>
    <col min="9204" max="9204" width="7.85546875" customWidth="1"/>
    <col min="9205" max="9205" width="14.28515625" customWidth="1"/>
    <col min="9206" max="9206" width="14" customWidth="1"/>
    <col min="9207" max="9207" width="10.140625" customWidth="1"/>
    <col min="9208" max="9208" width="11" customWidth="1"/>
    <col min="9209" max="9209" width="13.5703125" customWidth="1"/>
    <col min="9210" max="9210" width="8.7109375" customWidth="1"/>
    <col min="9211" max="9211" width="10.28515625" customWidth="1"/>
    <col min="9212" max="9212" width="15.28515625" customWidth="1"/>
    <col min="9213" max="9214" width="10.140625" customWidth="1"/>
    <col min="9215" max="9215" width="13.42578125" customWidth="1"/>
    <col min="9216" max="9217" width="10.140625" customWidth="1"/>
    <col min="9218" max="9218" width="12.42578125" customWidth="1"/>
    <col min="9219" max="9221" width="0" hidden="1" customWidth="1"/>
    <col min="9222" max="9222" width="11.5703125" customWidth="1"/>
    <col min="9223" max="9223" width="11.85546875" customWidth="1"/>
    <col min="9224" max="9224" width="15.7109375" customWidth="1"/>
    <col min="9225" max="9225" width="1.5703125" customWidth="1"/>
    <col min="9226" max="9226" width="10.5703125" customWidth="1"/>
    <col min="9227" max="9227" width="20.7109375" customWidth="1"/>
    <col min="9228" max="9228" width="2" customWidth="1"/>
    <col min="9229" max="9229" width="10.140625" customWidth="1"/>
    <col min="9230" max="9230" width="13.7109375" customWidth="1"/>
    <col min="9231" max="9231" width="9.42578125" customWidth="1"/>
    <col min="9232" max="9232" width="10.7109375" bestFit="1" customWidth="1"/>
    <col min="9233" max="9233" width="16.5703125" customWidth="1"/>
    <col min="9234" max="9234" width="16" customWidth="1"/>
    <col min="9235" max="9444" width="9.42578125" customWidth="1"/>
    <col min="9445" max="9445" width="7.140625" customWidth="1"/>
    <col min="9446" max="9446" width="35.28515625" customWidth="1"/>
    <col min="9447" max="9447" width="6.7109375" customWidth="1"/>
    <col min="9448" max="9448" width="5.7109375" customWidth="1"/>
    <col min="9449" max="9449" width="5.85546875" customWidth="1"/>
    <col min="9450" max="9450" width="7.85546875" customWidth="1"/>
    <col min="9455" max="9455" width="7.140625" customWidth="1"/>
    <col min="9456" max="9456" width="39.42578125" customWidth="1"/>
    <col min="9457" max="9457" width="6.7109375" customWidth="1"/>
    <col min="9458" max="9458" width="5.7109375" customWidth="1"/>
    <col min="9459" max="9459" width="5.85546875" customWidth="1"/>
    <col min="9460" max="9460" width="7.85546875" customWidth="1"/>
    <col min="9461" max="9461" width="14.28515625" customWidth="1"/>
    <col min="9462" max="9462" width="14" customWidth="1"/>
    <col min="9463" max="9463" width="10.140625" customWidth="1"/>
    <col min="9464" max="9464" width="11" customWidth="1"/>
    <col min="9465" max="9465" width="13.5703125" customWidth="1"/>
    <col min="9466" max="9466" width="8.7109375" customWidth="1"/>
    <col min="9467" max="9467" width="10.28515625" customWidth="1"/>
    <col min="9468" max="9468" width="15.28515625" customWidth="1"/>
    <col min="9469" max="9470" width="10.140625" customWidth="1"/>
    <col min="9471" max="9471" width="13.42578125" customWidth="1"/>
    <col min="9472" max="9473" width="10.140625" customWidth="1"/>
    <col min="9474" max="9474" width="12.42578125" customWidth="1"/>
    <col min="9475" max="9477" width="0" hidden="1" customWidth="1"/>
    <col min="9478" max="9478" width="11.5703125" customWidth="1"/>
    <col min="9479" max="9479" width="11.85546875" customWidth="1"/>
    <col min="9480" max="9480" width="15.7109375" customWidth="1"/>
    <col min="9481" max="9481" width="1.5703125" customWidth="1"/>
    <col min="9482" max="9482" width="10.5703125" customWidth="1"/>
    <col min="9483" max="9483" width="20.7109375" customWidth="1"/>
    <col min="9484" max="9484" width="2" customWidth="1"/>
    <col min="9485" max="9485" width="10.140625" customWidth="1"/>
    <col min="9486" max="9486" width="13.7109375" customWidth="1"/>
    <col min="9487" max="9487" width="9.42578125" customWidth="1"/>
    <col min="9488" max="9488" width="10.7109375" bestFit="1" customWidth="1"/>
    <col min="9489" max="9489" width="16.5703125" customWidth="1"/>
    <col min="9490" max="9490" width="16" customWidth="1"/>
    <col min="9491" max="9700" width="9.42578125" customWidth="1"/>
    <col min="9701" max="9701" width="7.140625" customWidth="1"/>
    <col min="9702" max="9702" width="35.28515625" customWidth="1"/>
    <col min="9703" max="9703" width="6.7109375" customWidth="1"/>
    <col min="9704" max="9704" width="5.7109375" customWidth="1"/>
    <col min="9705" max="9705" width="5.85546875" customWidth="1"/>
    <col min="9706" max="9706" width="7.85546875" customWidth="1"/>
    <col min="9711" max="9711" width="7.140625" customWidth="1"/>
    <col min="9712" max="9712" width="39.42578125" customWidth="1"/>
    <col min="9713" max="9713" width="6.7109375" customWidth="1"/>
    <col min="9714" max="9714" width="5.7109375" customWidth="1"/>
    <col min="9715" max="9715" width="5.85546875" customWidth="1"/>
    <col min="9716" max="9716" width="7.85546875" customWidth="1"/>
    <col min="9717" max="9717" width="14.28515625" customWidth="1"/>
    <col min="9718" max="9718" width="14" customWidth="1"/>
    <col min="9719" max="9719" width="10.140625" customWidth="1"/>
    <col min="9720" max="9720" width="11" customWidth="1"/>
    <col min="9721" max="9721" width="13.5703125" customWidth="1"/>
    <col min="9722" max="9722" width="8.7109375" customWidth="1"/>
    <col min="9723" max="9723" width="10.28515625" customWidth="1"/>
    <col min="9724" max="9724" width="15.28515625" customWidth="1"/>
    <col min="9725" max="9726" width="10.140625" customWidth="1"/>
    <col min="9727" max="9727" width="13.42578125" customWidth="1"/>
    <col min="9728" max="9729" width="10.140625" customWidth="1"/>
    <col min="9730" max="9730" width="12.42578125" customWidth="1"/>
    <col min="9731" max="9733" width="0" hidden="1" customWidth="1"/>
    <col min="9734" max="9734" width="11.5703125" customWidth="1"/>
    <col min="9735" max="9735" width="11.85546875" customWidth="1"/>
    <col min="9736" max="9736" width="15.7109375" customWidth="1"/>
    <col min="9737" max="9737" width="1.5703125" customWidth="1"/>
    <col min="9738" max="9738" width="10.5703125" customWidth="1"/>
    <col min="9739" max="9739" width="20.7109375" customWidth="1"/>
    <col min="9740" max="9740" width="2" customWidth="1"/>
    <col min="9741" max="9741" width="10.140625" customWidth="1"/>
    <col min="9742" max="9742" width="13.7109375" customWidth="1"/>
    <col min="9743" max="9743" width="9.42578125" customWidth="1"/>
    <col min="9744" max="9744" width="10.7109375" bestFit="1" customWidth="1"/>
    <col min="9745" max="9745" width="16.5703125" customWidth="1"/>
    <col min="9746" max="9746" width="16" customWidth="1"/>
    <col min="9747" max="9956" width="9.42578125" customWidth="1"/>
    <col min="9957" max="9957" width="7.140625" customWidth="1"/>
    <col min="9958" max="9958" width="35.28515625" customWidth="1"/>
    <col min="9959" max="9959" width="6.7109375" customWidth="1"/>
    <col min="9960" max="9960" width="5.7109375" customWidth="1"/>
    <col min="9961" max="9961" width="5.85546875" customWidth="1"/>
    <col min="9962" max="9962" width="7.85546875" customWidth="1"/>
    <col min="9967" max="9967" width="7.140625" customWidth="1"/>
    <col min="9968" max="9968" width="39.42578125" customWidth="1"/>
    <col min="9969" max="9969" width="6.7109375" customWidth="1"/>
    <col min="9970" max="9970" width="5.7109375" customWidth="1"/>
    <col min="9971" max="9971" width="5.85546875" customWidth="1"/>
    <col min="9972" max="9972" width="7.85546875" customWidth="1"/>
    <col min="9973" max="9973" width="14.28515625" customWidth="1"/>
    <col min="9974" max="9974" width="14" customWidth="1"/>
    <col min="9975" max="9975" width="10.140625" customWidth="1"/>
    <col min="9976" max="9976" width="11" customWidth="1"/>
    <col min="9977" max="9977" width="13.5703125" customWidth="1"/>
    <col min="9978" max="9978" width="8.7109375" customWidth="1"/>
    <col min="9979" max="9979" width="10.28515625" customWidth="1"/>
    <col min="9980" max="9980" width="15.28515625" customWidth="1"/>
    <col min="9981" max="9982" width="10.140625" customWidth="1"/>
    <col min="9983" max="9983" width="13.42578125" customWidth="1"/>
    <col min="9984" max="9985" width="10.140625" customWidth="1"/>
    <col min="9986" max="9986" width="12.42578125" customWidth="1"/>
    <col min="9987" max="9989" width="0" hidden="1" customWidth="1"/>
    <col min="9990" max="9990" width="11.5703125" customWidth="1"/>
    <col min="9991" max="9991" width="11.85546875" customWidth="1"/>
    <col min="9992" max="9992" width="15.7109375" customWidth="1"/>
    <col min="9993" max="9993" width="1.5703125" customWidth="1"/>
    <col min="9994" max="9994" width="10.5703125" customWidth="1"/>
    <col min="9995" max="9995" width="20.7109375" customWidth="1"/>
    <col min="9996" max="9996" width="2" customWidth="1"/>
    <col min="9997" max="9997" width="10.140625" customWidth="1"/>
    <col min="9998" max="9998" width="13.7109375" customWidth="1"/>
    <col min="9999" max="9999" width="9.42578125" customWidth="1"/>
    <col min="10000" max="10000" width="10.7109375" bestFit="1" customWidth="1"/>
    <col min="10001" max="10001" width="16.5703125" customWidth="1"/>
    <col min="10002" max="10002" width="16" customWidth="1"/>
    <col min="10003" max="10212" width="9.42578125" customWidth="1"/>
    <col min="10213" max="10213" width="7.140625" customWidth="1"/>
    <col min="10214" max="10214" width="35.28515625" customWidth="1"/>
    <col min="10215" max="10215" width="6.7109375" customWidth="1"/>
    <col min="10216" max="10216" width="5.7109375" customWidth="1"/>
    <col min="10217" max="10217" width="5.85546875" customWidth="1"/>
    <col min="10218" max="10218" width="7.85546875" customWidth="1"/>
    <col min="10223" max="10223" width="7.140625" customWidth="1"/>
    <col min="10224" max="10224" width="39.42578125" customWidth="1"/>
    <col min="10225" max="10225" width="6.7109375" customWidth="1"/>
    <col min="10226" max="10226" width="5.7109375" customWidth="1"/>
    <col min="10227" max="10227" width="5.85546875" customWidth="1"/>
    <col min="10228" max="10228" width="7.85546875" customWidth="1"/>
    <col min="10229" max="10229" width="14.28515625" customWidth="1"/>
    <col min="10230" max="10230" width="14" customWidth="1"/>
    <col min="10231" max="10231" width="10.140625" customWidth="1"/>
    <col min="10232" max="10232" width="11" customWidth="1"/>
    <col min="10233" max="10233" width="13.5703125" customWidth="1"/>
    <col min="10234" max="10234" width="8.7109375" customWidth="1"/>
    <col min="10235" max="10235" width="10.28515625" customWidth="1"/>
    <col min="10236" max="10236" width="15.28515625" customWidth="1"/>
    <col min="10237" max="10238" width="10.140625" customWidth="1"/>
    <col min="10239" max="10239" width="13.42578125" customWidth="1"/>
    <col min="10240" max="10241" width="10.140625" customWidth="1"/>
    <col min="10242" max="10242" width="12.42578125" customWidth="1"/>
    <col min="10243" max="10245" width="0" hidden="1" customWidth="1"/>
    <col min="10246" max="10246" width="11.5703125" customWidth="1"/>
    <col min="10247" max="10247" width="11.85546875" customWidth="1"/>
    <col min="10248" max="10248" width="15.7109375" customWidth="1"/>
    <col min="10249" max="10249" width="1.5703125" customWidth="1"/>
    <col min="10250" max="10250" width="10.5703125" customWidth="1"/>
    <col min="10251" max="10251" width="20.7109375" customWidth="1"/>
    <col min="10252" max="10252" width="2" customWidth="1"/>
    <col min="10253" max="10253" width="10.140625" customWidth="1"/>
    <col min="10254" max="10254" width="13.7109375" customWidth="1"/>
    <col min="10255" max="10255" width="9.42578125" customWidth="1"/>
    <col min="10256" max="10256" width="10.7109375" bestFit="1" customWidth="1"/>
    <col min="10257" max="10257" width="16.5703125" customWidth="1"/>
    <col min="10258" max="10258" width="16" customWidth="1"/>
    <col min="10259" max="10468" width="9.42578125" customWidth="1"/>
    <col min="10469" max="10469" width="7.140625" customWidth="1"/>
    <col min="10470" max="10470" width="35.28515625" customWidth="1"/>
    <col min="10471" max="10471" width="6.7109375" customWidth="1"/>
    <col min="10472" max="10472" width="5.7109375" customWidth="1"/>
    <col min="10473" max="10473" width="5.85546875" customWidth="1"/>
    <col min="10474" max="10474" width="7.85546875" customWidth="1"/>
    <col min="10479" max="10479" width="7.140625" customWidth="1"/>
    <col min="10480" max="10480" width="39.42578125" customWidth="1"/>
    <col min="10481" max="10481" width="6.7109375" customWidth="1"/>
    <col min="10482" max="10482" width="5.7109375" customWidth="1"/>
    <col min="10483" max="10483" width="5.85546875" customWidth="1"/>
    <col min="10484" max="10484" width="7.85546875" customWidth="1"/>
    <col min="10485" max="10485" width="14.28515625" customWidth="1"/>
    <col min="10486" max="10486" width="14" customWidth="1"/>
    <col min="10487" max="10487" width="10.140625" customWidth="1"/>
    <col min="10488" max="10488" width="11" customWidth="1"/>
    <col min="10489" max="10489" width="13.5703125" customWidth="1"/>
    <col min="10490" max="10490" width="8.7109375" customWidth="1"/>
    <col min="10491" max="10491" width="10.28515625" customWidth="1"/>
    <col min="10492" max="10492" width="15.28515625" customWidth="1"/>
    <col min="10493" max="10494" width="10.140625" customWidth="1"/>
    <col min="10495" max="10495" width="13.42578125" customWidth="1"/>
    <col min="10496" max="10497" width="10.140625" customWidth="1"/>
    <col min="10498" max="10498" width="12.42578125" customWidth="1"/>
    <col min="10499" max="10501" width="0" hidden="1" customWidth="1"/>
    <col min="10502" max="10502" width="11.5703125" customWidth="1"/>
    <col min="10503" max="10503" width="11.85546875" customWidth="1"/>
    <col min="10504" max="10504" width="15.7109375" customWidth="1"/>
    <col min="10505" max="10505" width="1.5703125" customWidth="1"/>
    <col min="10506" max="10506" width="10.5703125" customWidth="1"/>
    <col min="10507" max="10507" width="20.7109375" customWidth="1"/>
    <col min="10508" max="10508" width="2" customWidth="1"/>
    <col min="10509" max="10509" width="10.140625" customWidth="1"/>
    <col min="10510" max="10510" width="13.7109375" customWidth="1"/>
    <col min="10511" max="10511" width="9.42578125" customWidth="1"/>
    <col min="10512" max="10512" width="10.7109375" bestFit="1" customWidth="1"/>
    <col min="10513" max="10513" width="16.5703125" customWidth="1"/>
    <col min="10514" max="10514" width="16" customWidth="1"/>
    <col min="10515" max="10724" width="9.42578125" customWidth="1"/>
    <col min="10725" max="10725" width="7.140625" customWidth="1"/>
    <col min="10726" max="10726" width="35.28515625" customWidth="1"/>
    <col min="10727" max="10727" width="6.7109375" customWidth="1"/>
    <col min="10728" max="10728" width="5.7109375" customWidth="1"/>
    <col min="10729" max="10729" width="5.85546875" customWidth="1"/>
    <col min="10730" max="10730" width="7.85546875" customWidth="1"/>
    <col min="10735" max="10735" width="7.140625" customWidth="1"/>
    <col min="10736" max="10736" width="39.42578125" customWidth="1"/>
    <col min="10737" max="10737" width="6.7109375" customWidth="1"/>
    <col min="10738" max="10738" width="5.7109375" customWidth="1"/>
    <col min="10739" max="10739" width="5.85546875" customWidth="1"/>
    <col min="10740" max="10740" width="7.85546875" customWidth="1"/>
    <col min="10741" max="10741" width="14.28515625" customWidth="1"/>
    <col min="10742" max="10742" width="14" customWidth="1"/>
    <col min="10743" max="10743" width="10.140625" customWidth="1"/>
    <col min="10744" max="10744" width="11" customWidth="1"/>
    <col min="10745" max="10745" width="13.5703125" customWidth="1"/>
    <col min="10746" max="10746" width="8.7109375" customWidth="1"/>
    <col min="10747" max="10747" width="10.28515625" customWidth="1"/>
    <col min="10748" max="10748" width="15.28515625" customWidth="1"/>
    <col min="10749" max="10750" width="10.140625" customWidth="1"/>
    <col min="10751" max="10751" width="13.42578125" customWidth="1"/>
    <col min="10752" max="10753" width="10.140625" customWidth="1"/>
    <col min="10754" max="10754" width="12.42578125" customWidth="1"/>
    <col min="10755" max="10757" width="0" hidden="1" customWidth="1"/>
    <col min="10758" max="10758" width="11.5703125" customWidth="1"/>
    <col min="10759" max="10759" width="11.85546875" customWidth="1"/>
    <col min="10760" max="10760" width="15.7109375" customWidth="1"/>
    <col min="10761" max="10761" width="1.5703125" customWidth="1"/>
    <col min="10762" max="10762" width="10.5703125" customWidth="1"/>
    <col min="10763" max="10763" width="20.7109375" customWidth="1"/>
    <col min="10764" max="10764" width="2" customWidth="1"/>
    <col min="10765" max="10765" width="10.140625" customWidth="1"/>
    <col min="10766" max="10766" width="13.7109375" customWidth="1"/>
    <col min="10767" max="10767" width="9.42578125" customWidth="1"/>
    <col min="10768" max="10768" width="10.7109375" bestFit="1" customWidth="1"/>
    <col min="10769" max="10769" width="16.5703125" customWidth="1"/>
    <col min="10770" max="10770" width="16" customWidth="1"/>
    <col min="10771" max="10980" width="9.42578125" customWidth="1"/>
    <col min="10981" max="10981" width="7.140625" customWidth="1"/>
    <col min="10982" max="10982" width="35.28515625" customWidth="1"/>
    <col min="10983" max="10983" width="6.7109375" customWidth="1"/>
    <col min="10984" max="10984" width="5.7109375" customWidth="1"/>
    <col min="10985" max="10985" width="5.85546875" customWidth="1"/>
    <col min="10986" max="10986" width="7.85546875" customWidth="1"/>
    <col min="10991" max="10991" width="7.140625" customWidth="1"/>
    <col min="10992" max="10992" width="39.42578125" customWidth="1"/>
    <col min="10993" max="10993" width="6.7109375" customWidth="1"/>
    <col min="10994" max="10994" width="5.7109375" customWidth="1"/>
    <col min="10995" max="10995" width="5.85546875" customWidth="1"/>
    <col min="10996" max="10996" width="7.85546875" customWidth="1"/>
    <col min="10997" max="10997" width="14.28515625" customWidth="1"/>
    <col min="10998" max="10998" width="14" customWidth="1"/>
    <col min="10999" max="10999" width="10.140625" customWidth="1"/>
    <col min="11000" max="11000" width="11" customWidth="1"/>
    <col min="11001" max="11001" width="13.5703125" customWidth="1"/>
    <col min="11002" max="11002" width="8.7109375" customWidth="1"/>
    <col min="11003" max="11003" width="10.28515625" customWidth="1"/>
    <col min="11004" max="11004" width="15.28515625" customWidth="1"/>
    <col min="11005" max="11006" width="10.140625" customWidth="1"/>
    <col min="11007" max="11007" width="13.42578125" customWidth="1"/>
    <col min="11008" max="11009" width="10.140625" customWidth="1"/>
    <col min="11010" max="11010" width="12.42578125" customWidth="1"/>
    <col min="11011" max="11013" width="0" hidden="1" customWidth="1"/>
    <col min="11014" max="11014" width="11.5703125" customWidth="1"/>
    <col min="11015" max="11015" width="11.85546875" customWidth="1"/>
    <col min="11016" max="11016" width="15.7109375" customWidth="1"/>
    <col min="11017" max="11017" width="1.5703125" customWidth="1"/>
    <col min="11018" max="11018" width="10.5703125" customWidth="1"/>
    <col min="11019" max="11019" width="20.7109375" customWidth="1"/>
    <col min="11020" max="11020" width="2" customWidth="1"/>
    <col min="11021" max="11021" width="10.140625" customWidth="1"/>
    <col min="11022" max="11022" width="13.7109375" customWidth="1"/>
    <col min="11023" max="11023" width="9.42578125" customWidth="1"/>
    <col min="11024" max="11024" width="10.7109375" bestFit="1" customWidth="1"/>
    <col min="11025" max="11025" width="16.5703125" customWidth="1"/>
    <col min="11026" max="11026" width="16" customWidth="1"/>
    <col min="11027" max="11236" width="9.42578125" customWidth="1"/>
    <col min="11237" max="11237" width="7.140625" customWidth="1"/>
    <col min="11238" max="11238" width="35.28515625" customWidth="1"/>
    <col min="11239" max="11239" width="6.7109375" customWidth="1"/>
    <col min="11240" max="11240" width="5.7109375" customWidth="1"/>
    <col min="11241" max="11241" width="5.85546875" customWidth="1"/>
    <col min="11242" max="11242" width="7.85546875" customWidth="1"/>
    <col min="11247" max="11247" width="7.140625" customWidth="1"/>
    <col min="11248" max="11248" width="39.42578125" customWidth="1"/>
    <col min="11249" max="11249" width="6.7109375" customWidth="1"/>
    <col min="11250" max="11250" width="5.7109375" customWidth="1"/>
    <col min="11251" max="11251" width="5.85546875" customWidth="1"/>
    <col min="11252" max="11252" width="7.85546875" customWidth="1"/>
    <col min="11253" max="11253" width="14.28515625" customWidth="1"/>
    <col min="11254" max="11254" width="14" customWidth="1"/>
    <col min="11255" max="11255" width="10.140625" customWidth="1"/>
    <col min="11256" max="11256" width="11" customWidth="1"/>
    <col min="11257" max="11257" width="13.5703125" customWidth="1"/>
    <col min="11258" max="11258" width="8.7109375" customWidth="1"/>
    <col min="11259" max="11259" width="10.28515625" customWidth="1"/>
    <col min="11260" max="11260" width="15.28515625" customWidth="1"/>
    <col min="11261" max="11262" width="10.140625" customWidth="1"/>
    <col min="11263" max="11263" width="13.42578125" customWidth="1"/>
    <col min="11264" max="11265" width="10.140625" customWidth="1"/>
    <col min="11266" max="11266" width="12.42578125" customWidth="1"/>
    <col min="11267" max="11269" width="0" hidden="1" customWidth="1"/>
    <col min="11270" max="11270" width="11.5703125" customWidth="1"/>
    <col min="11271" max="11271" width="11.85546875" customWidth="1"/>
    <col min="11272" max="11272" width="15.7109375" customWidth="1"/>
    <col min="11273" max="11273" width="1.5703125" customWidth="1"/>
    <col min="11274" max="11274" width="10.5703125" customWidth="1"/>
    <col min="11275" max="11275" width="20.7109375" customWidth="1"/>
    <col min="11276" max="11276" width="2" customWidth="1"/>
    <col min="11277" max="11277" width="10.140625" customWidth="1"/>
    <col min="11278" max="11278" width="13.7109375" customWidth="1"/>
    <col min="11279" max="11279" width="9.42578125" customWidth="1"/>
    <col min="11280" max="11280" width="10.7109375" bestFit="1" customWidth="1"/>
    <col min="11281" max="11281" width="16.5703125" customWidth="1"/>
    <col min="11282" max="11282" width="16" customWidth="1"/>
    <col min="11283" max="11492" width="9.42578125" customWidth="1"/>
    <col min="11493" max="11493" width="7.140625" customWidth="1"/>
    <col min="11494" max="11494" width="35.28515625" customWidth="1"/>
    <col min="11495" max="11495" width="6.7109375" customWidth="1"/>
    <col min="11496" max="11496" width="5.7109375" customWidth="1"/>
    <col min="11497" max="11497" width="5.85546875" customWidth="1"/>
    <col min="11498" max="11498" width="7.85546875" customWidth="1"/>
    <col min="11503" max="11503" width="7.140625" customWidth="1"/>
    <col min="11504" max="11504" width="39.42578125" customWidth="1"/>
    <col min="11505" max="11505" width="6.7109375" customWidth="1"/>
    <col min="11506" max="11506" width="5.7109375" customWidth="1"/>
    <col min="11507" max="11507" width="5.85546875" customWidth="1"/>
    <col min="11508" max="11508" width="7.85546875" customWidth="1"/>
    <col min="11509" max="11509" width="14.28515625" customWidth="1"/>
    <col min="11510" max="11510" width="14" customWidth="1"/>
    <col min="11511" max="11511" width="10.140625" customWidth="1"/>
    <col min="11512" max="11512" width="11" customWidth="1"/>
    <col min="11513" max="11513" width="13.5703125" customWidth="1"/>
    <col min="11514" max="11514" width="8.7109375" customWidth="1"/>
    <col min="11515" max="11515" width="10.28515625" customWidth="1"/>
    <col min="11516" max="11516" width="15.28515625" customWidth="1"/>
    <col min="11517" max="11518" width="10.140625" customWidth="1"/>
    <col min="11519" max="11519" width="13.42578125" customWidth="1"/>
    <col min="11520" max="11521" width="10.140625" customWidth="1"/>
    <col min="11522" max="11522" width="12.42578125" customWidth="1"/>
    <col min="11523" max="11525" width="0" hidden="1" customWidth="1"/>
    <col min="11526" max="11526" width="11.5703125" customWidth="1"/>
    <col min="11527" max="11527" width="11.85546875" customWidth="1"/>
    <col min="11528" max="11528" width="15.7109375" customWidth="1"/>
    <col min="11529" max="11529" width="1.5703125" customWidth="1"/>
    <col min="11530" max="11530" width="10.5703125" customWidth="1"/>
    <col min="11531" max="11531" width="20.7109375" customWidth="1"/>
    <col min="11532" max="11532" width="2" customWidth="1"/>
    <col min="11533" max="11533" width="10.140625" customWidth="1"/>
    <col min="11534" max="11534" width="13.7109375" customWidth="1"/>
    <col min="11535" max="11535" width="9.42578125" customWidth="1"/>
    <col min="11536" max="11536" width="10.7109375" bestFit="1" customWidth="1"/>
    <col min="11537" max="11537" width="16.5703125" customWidth="1"/>
    <col min="11538" max="11538" width="16" customWidth="1"/>
    <col min="11539" max="11748" width="9.42578125" customWidth="1"/>
    <col min="11749" max="11749" width="7.140625" customWidth="1"/>
    <col min="11750" max="11750" width="35.28515625" customWidth="1"/>
    <col min="11751" max="11751" width="6.7109375" customWidth="1"/>
    <col min="11752" max="11752" width="5.7109375" customWidth="1"/>
    <col min="11753" max="11753" width="5.85546875" customWidth="1"/>
    <col min="11754" max="11754" width="7.85546875" customWidth="1"/>
    <col min="11759" max="11759" width="7.140625" customWidth="1"/>
    <col min="11760" max="11760" width="39.42578125" customWidth="1"/>
    <col min="11761" max="11761" width="6.7109375" customWidth="1"/>
    <col min="11762" max="11762" width="5.7109375" customWidth="1"/>
    <col min="11763" max="11763" width="5.85546875" customWidth="1"/>
    <col min="11764" max="11764" width="7.85546875" customWidth="1"/>
    <col min="11765" max="11765" width="14.28515625" customWidth="1"/>
    <col min="11766" max="11766" width="14" customWidth="1"/>
    <col min="11767" max="11767" width="10.140625" customWidth="1"/>
    <col min="11768" max="11768" width="11" customWidth="1"/>
    <col min="11769" max="11769" width="13.5703125" customWidth="1"/>
    <col min="11770" max="11770" width="8.7109375" customWidth="1"/>
    <col min="11771" max="11771" width="10.28515625" customWidth="1"/>
    <col min="11772" max="11772" width="15.28515625" customWidth="1"/>
    <col min="11773" max="11774" width="10.140625" customWidth="1"/>
    <col min="11775" max="11775" width="13.42578125" customWidth="1"/>
    <col min="11776" max="11777" width="10.140625" customWidth="1"/>
    <col min="11778" max="11778" width="12.42578125" customWidth="1"/>
    <col min="11779" max="11781" width="0" hidden="1" customWidth="1"/>
    <col min="11782" max="11782" width="11.5703125" customWidth="1"/>
    <col min="11783" max="11783" width="11.85546875" customWidth="1"/>
    <col min="11784" max="11784" width="15.7109375" customWidth="1"/>
    <col min="11785" max="11785" width="1.5703125" customWidth="1"/>
    <col min="11786" max="11786" width="10.5703125" customWidth="1"/>
    <col min="11787" max="11787" width="20.7109375" customWidth="1"/>
    <col min="11788" max="11788" width="2" customWidth="1"/>
    <col min="11789" max="11789" width="10.140625" customWidth="1"/>
    <col min="11790" max="11790" width="13.7109375" customWidth="1"/>
    <col min="11791" max="11791" width="9.42578125" customWidth="1"/>
    <col min="11792" max="11792" width="10.7109375" bestFit="1" customWidth="1"/>
    <col min="11793" max="11793" width="16.5703125" customWidth="1"/>
    <col min="11794" max="11794" width="16" customWidth="1"/>
    <col min="11795" max="12004" width="9.42578125" customWidth="1"/>
    <col min="12005" max="12005" width="7.140625" customWidth="1"/>
    <col min="12006" max="12006" width="35.28515625" customWidth="1"/>
    <col min="12007" max="12007" width="6.7109375" customWidth="1"/>
    <col min="12008" max="12008" width="5.7109375" customWidth="1"/>
    <col min="12009" max="12009" width="5.85546875" customWidth="1"/>
    <col min="12010" max="12010" width="7.85546875" customWidth="1"/>
    <col min="12015" max="12015" width="7.140625" customWidth="1"/>
    <col min="12016" max="12016" width="39.42578125" customWidth="1"/>
    <col min="12017" max="12017" width="6.7109375" customWidth="1"/>
    <col min="12018" max="12018" width="5.7109375" customWidth="1"/>
    <col min="12019" max="12019" width="5.85546875" customWidth="1"/>
    <col min="12020" max="12020" width="7.85546875" customWidth="1"/>
    <col min="12021" max="12021" width="14.28515625" customWidth="1"/>
    <col min="12022" max="12022" width="14" customWidth="1"/>
    <col min="12023" max="12023" width="10.140625" customWidth="1"/>
    <col min="12024" max="12024" width="11" customWidth="1"/>
    <col min="12025" max="12025" width="13.5703125" customWidth="1"/>
    <col min="12026" max="12026" width="8.7109375" customWidth="1"/>
    <col min="12027" max="12027" width="10.28515625" customWidth="1"/>
    <col min="12028" max="12028" width="15.28515625" customWidth="1"/>
    <col min="12029" max="12030" width="10.140625" customWidth="1"/>
    <col min="12031" max="12031" width="13.42578125" customWidth="1"/>
    <col min="12032" max="12033" width="10.140625" customWidth="1"/>
    <col min="12034" max="12034" width="12.42578125" customWidth="1"/>
    <col min="12035" max="12037" width="0" hidden="1" customWidth="1"/>
    <col min="12038" max="12038" width="11.5703125" customWidth="1"/>
    <col min="12039" max="12039" width="11.85546875" customWidth="1"/>
    <col min="12040" max="12040" width="15.7109375" customWidth="1"/>
    <col min="12041" max="12041" width="1.5703125" customWidth="1"/>
    <col min="12042" max="12042" width="10.5703125" customWidth="1"/>
    <col min="12043" max="12043" width="20.7109375" customWidth="1"/>
    <col min="12044" max="12044" width="2" customWidth="1"/>
    <col min="12045" max="12045" width="10.140625" customWidth="1"/>
    <col min="12046" max="12046" width="13.7109375" customWidth="1"/>
    <col min="12047" max="12047" width="9.42578125" customWidth="1"/>
    <col min="12048" max="12048" width="10.7109375" bestFit="1" customWidth="1"/>
    <col min="12049" max="12049" width="16.5703125" customWidth="1"/>
    <col min="12050" max="12050" width="16" customWidth="1"/>
    <col min="12051" max="12260" width="9.42578125" customWidth="1"/>
    <col min="12261" max="12261" width="7.140625" customWidth="1"/>
    <col min="12262" max="12262" width="35.28515625" customWidth="1"/>
    <col min="12263" max="12263" width="6.7109375" customWidth="1"/>
    <col min="12264" max="12264" width="5.7109375" customWidth="1"/>
    <col min="12265" max="12265" width="5.85546875" customWidth="1"/>
    <col min="12266" max="12266" width="7.85546875" customWidth="1"/>
    <col min="12271" max="12271" width="7.140625" customWidth="1"/>
    <col min="12272" max="12272" width="39.42578125" customWidth="1"/>
    <col min="12273" max="12273" width="6.7109375" customWidth="1"/>
    <col min="12274" max="12274" width="5.7109375" customWidth="1"/>
    <col min="12275" max="12275" width="5.85546875" customWidth="1"/>
    <col min="12276" max="12276" width="7.85546875" customWidth="1"/>
    <col min="12277" max="12277" width="14.28515625" customWidth="1"/>
    <col min="12278" max="12278" width="14" customWidth="1"/>
    <col min="12279" max="12279" width="10.140625" customWidth="1"/>
    <col min="12280" max="12280" width="11" customWidth="1"/>
    <col min="12281" max="12281" width="13.5703125" customWidth="1"/>
    <col min="12282" max="12282" width="8.7109375" customWidth="1"/>
    <col min="12283" max="12283" width="10.28515625" customWidth="1"/>
    <col min="12284" max="12284" width="15.28515625" customWidth="1"/>
    <col min="12285" max="12286" width="10.140625" customWidth="1"/>
    <col min="12287" max="12287" width="13.42578125" customWidth="1"/>
    <col min="12288" max="12289" width="10.140625" customWidth="1"/>
    <col min="12290" max="12290" width="12.42578125" customWidth="1"/>
    <col min="12291" max="12293" width="0" hidden="1" customWidth="1"/>
    <col min="12294" max="12294" width="11.5703125" customWidth="1"/>
    <col min="12295" max="12295" width="11.85546875" customWidth="1"/>
    <col min="12296" max="12296" width="15.7109375" customWidth="1"/>
    <col min="12297" max="12297" width="1.5703125" customWidth="1"/>
    <col min="12298" max="12298" width="10.5703125" customWidth="1"/>
    <col min="12299" max="12299" width="20.7109375" customWidth="1"/>
    <col min="12300" max="12300" width="2" customWidth="1"/>
    <col min="12301" max="12301" width="10.140625" customWidth="1"/>
    <col min="12302" max="12302" width="13.7109375" customWidth="1"/>
    <col min="12303" max="12303" width="9.42578125" customWidth="1"/>
    <col min="12304" max="12304" width="10.7109375" bestFit="1" customWidth="1"/>
    <col min="12305" max="12305" width="16.5703125" customWidth="1"/>
    <col min="12306" max="12306" width="16" customWidth="1"/>
    <col min="12307" max="12516" width="9.42578125" customWidth="1"/>
    <col min="12517" max="12517" width="7.140625" customWidth="1"/>
    <col min="12518" max="12518" width="35.28515625" customWidth="1"/>
    <col min="12519" max="12519" width="6.7109375" customWidth="1"/>
    <col min="12520" max="12520" width="5.7109375" customWidth="1"/>
    <col min="12521" max="12521" width="5.85546875" customWidth="1"/>
    <col min="12522" max="12522" width="7.85546875" customWidth="1"/>
    <col min="12527" max="12527" width="7.140625" customWidth="1"/>
    <col min="12528" max="12528" width="39.42578125" customWidth="1"/>
    <col min="12529" max="12529" width="6.7109375" customWidth="1"/>
    <col min="12530" max="12530" width="5.7109375" customWidth="1"/>
    <col min="12531" max="12531" width="5.85546875" customWidth="1"/>
    <col min="12532" max="12532" width="7.85546875" customWidth="1"/>
    <col min="12533" max="12533" width="14.28515625" customWidth="1"/>
    <col min="12534" max="12534" width="14" customWidth="1"/>
    <col min="12535" max="12535" width="10.140625" customWidth="1"/>
    <col min="12536" max="12536" width="11" customWidth="1"/>
    <col min="12537" max="12537" width="13.5703125" customWidth="1"/>
    <col min="12538" max="12538" width="8.7109375" customWidth="1"/>
    <col min="12539" max="12539" width="10.28515625" customWidth="1"/>
    <col min="12540" max="12540" width="15.28515625" customWidth="1"/>
    <col min="12541" max="12542" width="10.140625" customWidth="1"/>
    <col min="12543" max="12543" width="13.42578125" customWidth="1"/>
    <col min="12544" max="12545" width="10.140625" customWidth="1"/>
    <col min="12546" max="12546" width="12.42578125" customWidth="1"/>
    <col min="12547" max="12549" width="0" hidden="1" customWidth="1"/>
    <col min="12550" max="12550" width="11.5703125" customWidth="1"/>
    <col min="12551" max="12551" width="11.85546875" customWidth="1"/>
    <col min="12552" max="12552" width="15.7109375" customWidth="1"/>
    <col min="12553" max="12553" width="1.5703125" customWidth="1"/>
    <col min="12554" max="12554" width="10.5703125" customWidth="1"/>
    <col min="12555" max="12555" width="20.7109375" customWidth="1"/>
    <col min="12556" max="12556" width="2" customWidth="1"/>
    <col min="12557" max="12557" width="10.140625" customWidth="1"/>
    <col min="12558" max="12558" width="13.7109375" customWidth="1"/>
    <col min="12559" max="12559" width="9.42578125" customWidth="1"/>
    <col min="12560" max="12560" width="10.7109375" bestFit="1" customWidth="1"/>
    <col min="12561" max="12561" width="16.5703125" customWidth="1"/>
    <col min="12562" max="12562" width="16" customWidth="1"/>
    <col min="12563" max="12772" width="9.42578125" customWidth="1"/>
    <col min="12773" max="12773" width="7.140625" customWidth="1"/>
    <col min="12774" max="12774" width="35.28515625" customWidth="1"/>
    <col min="12775" max="12775" width="6.7109375" customWidth="1"/>
    <col min="12776" max="12776" width="5.7109375" customWidth="1"/>
    <col min="12777" max="12777" width="5.85546875" customWidth="1"/>
    <col min="12778" max="12778" width="7.85546875" customWidth="1"/>
    <col min="12783" max="12783" width="7.140625" customWidth="1"/>
    <col min="12784" max="12784" width="39.42578125" customWidth="1"/>
    <col min="12785" max="12785" width="6.7109375" customWidth="1"/>
    <col min="12786" max="12786" width="5.7109375" customWidth="1"/>
    <col min="12787" max="12787" width="5.85546875" customWidth="1"/>
    <col min="12788" max="12788" width="7.85546875" customWidth="1"/>
    <col min="12789" max="12789" width="14.28515625" customWidth="1"/>
    <col min="12790" max="12790" width="14" customWidth="1"/>
    <col min="12791" max="12791" width="10.140625" customWidth="1"/>
    <col min="12792" max="12792" width="11" customWidth="1"/>
    <col min="12793" max="12793" width="13.5703125" customWidth="1"/>
    <col min="12794" max="12794" width="8.7109375" customWidth="1"/>
    <col min="12795" max="12795" width="10.28515625" customWidth="1"/>
    <col min="12796" max="12796" width="15.28515625" customWidth="1"/>
    <col min="12797" max="12798" width="10.140625" customWidth="1"/>
    <col min="12799" max="12799" width="13.42578125" customWidth="1"/>
    <col min="12800" max="12801" width="10.140625" customWidth="1"/>
    <col min="12802" max="12802" width="12.42578125" customWidth="1"/>
    <col min="12803" max="12805" width="0" hidden="1" customWidth="1"/>
    <col min="12806" max="12806" width="11.5703125" customWidth="1"/>
    <col min="12807" max="12807" width="11.85546875" customWidth="1"/>
    <col min="12808" max="12808" width="15.7109375" customWidth="1"/>
    <col min="12809" max="12809" width="1.5703125" customWidth="1"/>
    <col min="12810" max="12810" width="10.5703125" customWidth="1"/>
    <col min="12811" max="12811" width="20.7109375" customWidth="1"/>
    <col min="12812" max="12812" width="2" customWidth="1"/>
    <col min="12813" max="12813" width="10.140625" customWidth="1"/>
    <col min="12814" max="12814" width="13.7109375" customWidth="1"/>
    <col min="12815" max="12815" width="9.42578125" customWidth="1"/>
    <col min="12816" max="12816" width="10.7109375" bestFit="1" customWidth="1"/>
    <col min="12817" max="12817" width="16.5703125" customWidth="1"/>
    <col min="12818" max="12818" width="16" customWidth="1"/>
    <col min="12819" max="13028" width="9.42578125" customWidth="1"/>
    <col min="13029" max="13029" width="7.140625" customWidth="1"/>
    <col min="13030" max="13030" width="35.28515625" customWidth="1"/>
    <col min="13031" max="13031" width="6.7109375" customWidth="1"/>
    <col min="13032" max="13032" width="5.7109375" customWidth="1"/>
    <col min="13033" max="13033" width="5.85546875" customWidth="1"/>
    <col min="13034" max="13034" width="7.85546875" customWidth="1"/>
    <col min="13039" max="13039" width="7.140625" customWidth="1"/>
    <col min="13040" max="13040" width="39.42578125" customWidth="1"/>
    <col min="13041" max="13041" width="6.7109375" customWidth="1"/>
    <col min="13042" max="13042" width="5.7109375" customWidth="1"/>
    <col min="13043" max="13043" width="5.85546875" customWidth="1"/>
    <col min="13044" max="13044" width="7.85546875" customWidth="1"/>
    <col min="13045" max="13045" width="14.28515625" customWidth="1"/>
    <col min="13046" max="13046" width="14" customWidth="1"/>
    <col min="13047" max="13047" width="10.140625" customWidth="1"/>
    <col min="13048" max="13048" width="11" customWidth="1"/>
    <col min="13049" max="13049" width="13.5703125" customWidth="1"/>
    <col min="13050" max="13050" width="8.7109375" customWidth="1"/>
    <col min="13051" max="13051" width="10.28515625" customWidth="1"/>
    <col min="13052" max="13052" width="15.28515625" customWidth="1"/>
    <col min="13053" max="13054" width="10.140625" customWidth="1"/>
    <col min="13055" max="13055" width="13.42578125" customWidth="1"/>
    <col min="13056" max="13057" width="10.140625" customWidth="1"/>
    <col min="13058" max="13058" width="12.42578125" customWidth="1"/>
    <col min="13059" max="13061" width="0" hidden="1" customWidth="1"/>
    <col min="13062" max="13062" width="11.5703125" customWidth="1"/>
    <col min="13063" max="13063" width="11.85546875" customWidth="1"/>
    <col min="13064" max="13064" width="15.7109375" customWidth="1"/>
    <col min="13065" max="13065" width="1.5703125" customWidth="1"/>
    <col min="13066" max="13066" width="10.5703125" customWidth="1"/>
    <col min="13067" max="13067" width="20.7109375" customWidth="1"/>
    <col min="13068" max="13068" width="2" customWidth="1"/>
    <col min="13069" max="13069" width="10.140625" customWidth="1"/>
    <col min="13070" max="13070" width="13.7109375" customWidth="1"/>
    <col min="13071" max="13071" width="9.42578125" customWidth="1"/>
    <col min="13072" max="13072" width="10.7109375" bestFit="1" customWidth="1"/>
    <col min="13073" max="13073" width="16.5703125" customWidth="1"/>
    <col min="13074" max="13074" width="16" customWidth="1"/>
    <col min="13075" max="13284" width="9.42578125" customWidth="1"/>
    <col min="13285" max="13285" width="7.140625" customWidth="1"/>
    <col min="13286" max="13286" width="35.28515625" customWidth="1"/>
    <col min="13287" max="13287" width="6.7109375" customWidth="1"/>
    <col min="13288" max="13288" width="5.7109375" customWidth="1"/>
    <col min="13289" max="13289" width="5.85546875" customWidth="1"/>
    <col min="13290" max="13290" width="7.85546875" customWidth="1"/>
    <col min="13295" max="13295" width="7.140625" customWidth="1"/>
    <col min="13296" max="13296" width="39.42578125" customWidth="1"/>
    <col min="13297" max="13297" width="6.7109375" customWidth="1"/>
    <col min="13298" max="13298" width="5.7109375" customWidth="1"/>
    <col min="13299" max="13299" width="5.85546875" customWidth="1"/>
    <col min="13300" max="13300" width="7.85546875" customWidth="1"/>
    <col min="13301" max="13301" width="14.28515625" customWidth="1"/>
    <col min="13302" max="13302" width="14" customWidth="1"/>
    <col min="13303" max="13303" width="10.140625" customWidth="1"/>
    <col min="13304" max="13304" width="11" customWidth="1"/>
    <col min="13305" max="13305" width="13.5703125" customWidth="1"/>
    <col min="13306" max="13306" width="8.7109375" customWidth="1"/>
    <col min="13307" max="13307" width="10.28515625" customWidth="1"/>
    <col min="13308" max="13308" width="15.28515625" customWidth="1"/>
    <col min="13309" max="13310" width="10.140625" customWidth="1"/>
    <col min="13311" max="13311" width="13.42578125" customWidth="1"/>
    <col min="13312" max="13313" width="10.140625" customWidth="1"/>
    <col min="13314" max="13314" width="12.42578125" customWidth="1"/>
    <col min="13315" max="13317" width="0" hidden="1" customWidth="1"/>
    <col min="13318" max="13318" width="11.5703125" customWidth="1"/>
    <col min="13319" max="13319" width="11.85546875" customWidth="1"/>
    <col min="13320" max="13320" width="15.7109375" customWidth="1"/>
    <col min="13321" max="13321" width="1.5703125" customWidth="1"/>
    <col min="13322" max="13322" width="10.5703125" customWidth="1"/>
    <col min="13323" max="13323" width="20.7109375" customWidth="1"/>
    <col min="13324" max="13324" width="2" customWidth="1"/>
    <col min="13325" max="13325" width="10.140625" customWidth="1"/>
    <col min="13326" max="13326" width="13.7109375" customWidth="1"/>
    <col min="13327" max="13327" width="9.42578125" customWidth="1"/>
    <col min="13328" max="13328" width="10.7109375" bestFit="1" customWidth="1"/>
    <col min="13329" max="13329" width="16.5703125" customWidth="1"/>
    <col min="13330" max="13330" width="16" customWidth="1"/>
    <col min="13331" max="13540" width="9.42578125" customWidth="1"/>
    <col min="13541" max="13541" width="7.140625" customWidth="1"/>
    <col min="13542" max="13542" width="35.28515625" customWidth="1"/>
    <col min="13543" max="13543" width="6.7109375" customWidth="1"/>
    <col min="13544" max="13544" width="5.7109375" customWidth="1"/>
    <col min="13545" max="13545" width="5.85546875" customWidth="1"/>
    <col min="13546" max="13546" width="7.85546875" customWidth="1"/>
    <col min="13551" max="13551" width="7.140625" customWidth="1"/>
    <col min="13552" max="13552" width="39.42578125" customWidth="1"/>
    <col min="13553" max="13553" width="6.7109375" customWidth="1"/>
    <col min="13554" max="13554" width="5.7109375" customWidth="1"/>
    <col min="13555" max="13555" width="5.85546875" customWidth="1"/>
    <col min="13556" max="13556" width="7.85546875" customWidth="1"/>
    <col min="13557" max="13557" width="14.28515625" customWidth="1"/>
    <col min="13558" max="13558" width="14" customWidth="1"/>
    <col min="13559" max="13559" width="10.140625" customWidth="1"/>
    <col min="13560" max="13560" width="11" customWidth="1"/>
    <col min="13561" max="13561" width="13.5703125" customWidth="1"/>
    <col min="13562" max="13562" width="8.7109375" customWidth="1"/>
    <col min="13563" max="13563" width="10.28515625" customWidth="1"/>
    <col min="13564" max="13564" width="15.28515625" customWidth="1"/>
    <col min="13565" max="13566" width="10.140625" customWidth="1"/>
    <col min="13567" max="13567" width="13.42578125" customWidth="1"/>
    <col min="13568" max="13569" width="10.140625" customWidth="1"/>
    <col min="13570" max="13570" width="12.42578125" customWidth="1"/>
    <col min="13571" max="13573" width="0" hidden="1" customWidth="1"/>
    <col min="13574" max="13574" width="11.5703125" customWidth="1"/>
    <col min="13575" max="13575" width="11.85546875" customWidth="1"/>
    <col min="13576" max="13576" width="15.7109375" customWidth="1"/>
    <col min="13577" max="13577" width="1.5703125" customWidth="1"/>
    <col min="13578" max="13578" width="10.5703125" customWidth="1"/>
    <col min="13579" max="13579" width="20.7109375" customWidth="1"/>
    <col min="13580" max="13580" width="2" customWidth="1"/>
    <col min="13581" max="13581" width="10.140625" customWidth="1"/>
    <col min="13582" max="13582" width="13.7109375" customWidth="1"/>
    <col min="13583" max="13583" width="9.42578125" customWidth="1"/>
    <col min="13584" max="13584" width="10.7109375" bestFit="1" customWidth="1"/>
    <col min="13585" max="13585" width="16.5703125" customWidth="1"/>
    <col min="13586" max="13586" width="16" customWidth="1"/>
    <col min="13587" max="13796" width="9.42578125" customWidth="1"/>
    <col min="13797" max="13797" width="7.140625" customWidth="1"/>
    <col min="13798" max="13798" width="35.28515625" customWidth="1"/>
    <col min="13799" max="13799" width="6.7109375" customWidth="1"/>
    <col min="13800" max="13800" width="5.7109375" customWidth="1"/>
    <col min="13801" max="13801" width="5.85546875" customWidth="1"/>
    <col min="13802" max="13802" width="7.85546875" customWidth="1"/>
    <col min="13807" max="13807" width="7.140625" customWidth="1"/>
    <col min="13808" max="13808" width="39.42578125" customWidth="1"/>
    <col min="13809" max="13809" width="6.7109375" customWidth="1"/>
    <col min="13810" max="13810" width="5.7109375" customWidth="1"/>
    <col min="13811" max="13811" width="5.85546875" customWidth="1"/>
    <col min="13812" max="13812" width="7.85546875" customWidth="1"/>
    <col min="13813" max="13813" width="14.28515625" customWidth="1"/>
    <col min="13814" max="13814" width="14" customWidth="1"/>
    <col min="13815" max="13815" width="10.140625" customWidth="1"/>
    <col min="13816" max="13816" width="11" customWidth="1"/>
    <col min="13817" max="13817" width="13.5703125" customWidth="1"/>
    <col min="13818" max="13818" width="8.7109375" customWidth="1"/>
    <col min="13819" max="13819" width="10.28515625" customWidth="1"/>
    <col min="13820" max="13820" width="15.28515625" customWidth="1"/>
    <col min="13821" max="13822" width="10.140625" customWidth="1"/>
    <col min="13823" max="13823" width="13.42578125" customWidth="1"/>
    <col min="13824" max="13825" width="10.140625" customWidth="1"/>
    <col min="13826" max="13826" width="12.42578125" customWidth="1"/>
    <col min="13827" max="13829" width="0" hidden="1" customWidth="1"/>
    <col min="13830" max="13830" width="11.5703125" customWidth="1"/>
    <col min="13831" max="13831" width="11.85546875" customWidth="1"/>
    <col min="13832" max="13832" width="15.7109375" customWidth="1"/>
    <col min="13833" max="13833" width="1.5703125" customWidth="1"/>
    <col min="13834" max="13834" width="10.5703125" customWidth="1"/>
    <col min="13835" max="13835" width="20.7109375" customWidth="1"/>
    <col min="13836" max="13836" width="2" customWidth="1"/>
    <col min="13837" max="13837" width="10.140625" customWidth="1"/>
    <col min="13838" max="13838" width="13.7109375" customWidth="1"/>
    <col min="13839" max="13839" width="9.42578125" customWidth="1"/>
    <col min="13840" max="13840" width="10.7109375" bestFit="1" customWidth="1"/>
    <col min="13841" max="13841" width="16.5703125" customWidth="1"/>
    <col min="13842" max="13842" width="16" customWidth="1"/>
    <col min="13843" max="14052" width="9.42578125" customWidth="1"/>
    <col min="14053" max="14053" width="7.140625" customWidth="1"/>
    <col min="14054" max="14054" width="35.28515625" customWidth="1"/>
    <col min="14055" max="14055" width="6.7109375" customWidth="1"/>
    <col min="14056" max="14056" width="5.7109375" customWidth="1"/>
    <col min="14057" max="14057" width="5.85546875" customWidth="1"/>
    <col min="14058" max="14058" width="7.85546875" customWidth="1"/>
    <col min="14063" max="14063" width="7.140625" customWidth="1"/>
    <col min="14064" max="14064" width="39.42578125" customWidth="1"/>
    <col min="14065" max="14065" width="6.7109375" customWidth="1"/>
    <col min="14066" max="14066" width="5.7109375" customWidth="1"/>
    <col min="14067" max="14067" width="5.85546875" customWidth="1"/>
    <col min="14068" max="14068" width="7.85546875" customWidth="1"/>
    <col min="14069" max="14069" width="14.28515625" customWidth="1"/>
    <col min="14070" max="14070" width="14" customWidth="1"/>
    <col min="14071" max="14071" width="10.140625" customWidth="1"/>
    <col min="14072" max="14072" width="11" customWidth="1"/>
    <col min="14073" max="14073" width="13.5703125" customWidth="1"/>
    <col min="14074" max="14074" width="8.7109375" customWidth="1"/>
    <col min="14075" max="14075" width="10.28515625" customWidth="1"/>
    <col min="14076" max="14076" width="15.28515625" customWidth="1"/>
    <col min="14077" max="14078" width="10.140625" customWidth="1"/>
    <col min="14079" max="14079" width="13.42578125" customWidth="1"/>
    <col min="14080" max="14081" width="10.140625" customWidth="1"/>
    <col min="14082" max="14082" width="12.42578125" customWidth="1"/>
    <col min="14083" max="14085" width="0" hidden="1" customWidth="1"/>
    <col min="14086" max="14086" width="11.5703125" customWidth="1"/>
    <col min="14087" max="14087" width="11.85546875" customWidth="1"/>
    <col min="14088" max="14088" width="15.7109375" customWidth="1"/>
    <col min="14089" max="14089" width="1.5703125" customWidth="1"/>
    <col min="14090" max="14090" width="10.5703125" customWidth="1"/>
    <col min="14091" max="14091" width="20.7109375" customWidth="1"/>
    <col min="14092" max="14092" width="2" customWidth="1"/>
    <col min="14093" max="14093" width="10.140625" customWidth="1"/>
    <col min="14094" max="14094" width="13.7109375" customWidth="1"/>
    <col min="14095" max="14095" width="9.42578125" customWidth="1"/>
    <col min="14096" max="14096" width="10.7109375" bestFit="1" customWidth="1"/>
    <col min="14097" max="14097" width="16.5703125" customWidth="1"/>
    <col min="14098" max="14098" width="16" customWidth="1"/>
    <col min="14099" max="14308" width="9.42578125" customWidth="1"/>
    <col min="14309" max="14309" width="7.140625" customWidth="1"/>
    <col min="14310" max="14310" width="35.28515625" customWidth="1"/>
    <col min="14311" max="14311" width="6.7109375" customWidth="1"/>
    <col min="14312" max="14312" width="5.7109375" customWidth="1"/>
    <col min="14313" max="14313" width="5.85546875" customWidth="1"/>
    <col min="14314" max="14314" width="7.85546875" customWidth="1"/>
    <col min="14319" max="14319" width="7.140625" customWidth="1"/>
    <col min="14320" max="14320" width="39.42578125" customWidth="1"/>
    <col min="14321" max="14321" width="6.7109375" customWidth="1"/>
    <col min="14322" max="14322" width="5.7109375" customWidth="1"/>
    <col min="14323" max="14323" width="5.85546875" customWidth="1"/>
    <col min="14324" max="14324" width="7.85546875" customWidth="1"/>
    <col min="14325" max="14325" width="14.28515625" customWidth="1"/>
    <col min="14326" max="14326" width="14" customWidth="1"/>
    <col min="14327" max="14327" width="10.140625" customWidth="1"/>
    <col min="14328" max="14328" width="11" customWidth="1"/>
    <col min="14329" max="14329" width="13.5703125" customWidth="1"/>
    <col min="14330" max="14330" width="8.7109375" customWidth="1"/>
    <col min="14331" max="14331" width="10.28515625" customWidth="1"/>
    <col min="14332" max="14332" width="15.28515625" customWidth="1"/>
    <col min="14333" max="14334" width="10.140625" customWidth="1"/>
    <col min="14335" max="14335" width="13.42578125" customWidth="1"/>
    <col min="14336" max="14337" width="10.140625" customWidth="1"/>
    <col min="14338" max="14338" width="12.42578125" customWidth="1"/>
    <col min="14339" max="14341" width="0" hidden="1" customWidth="1"/>
    <col min="14342" max="14342" width="11.5703125" customWidth="1"/>
    <col min="14343" max="14343" width="11.85546875" customWidth="1"/>
    <col min="14344" max="14344" width="15.7109375" customWidth="1"/>
    <col min="14345" max="14345" width="1.5703125" customWidth="1"/>
    <col min="14346" max="14346" width="10.5703125" customWidth="1"/>
    <col min="14347" max="14347" width="20.7109375" customWidth="1"/>
    <col min="14348" max="14348" width="2" customWidth="1"/>
    <col min="14349" max="14349" width="10.140625" customWidth="1"/>
    <col min="14350" max="14350" width="13.7109375" customWidth="1"/>
    <col min="14351" max="14351" width="9.42578125" customWidth="1"/>
    <col min="14352" max="14352" width="10.7109375" bestFit="1" customWidth="1"/>
    <col min="14353" max="14353" width="16.5703125" customWidth="1"/>
    <col min="14354" max="14354" width="16" customWidth="1"/>
    <col min="14355" max="14564" width="9.42578125" customWidth="1"/>
    <col min="14565" max="14565" width="7.140625" customWidth="1"/>
    <col min="14566" max="14566" width="35.28515625" customWidth="1"/>
    <col min="14567" max="14567" width="6.7109375" customWidth="1"/>
    <col min="14568" max="14568" width="5.7109375" customWidth="1"/>
    <col min="14569" max="14569" width="5.85546875" customWidth="1"/>
    <col min="14570" max="14570" width="7.85546875" customWidth="1"/>
    <col min="14575" max="14575" width="7.140625" customWidth="1"/>
    <col min="14576" max="14576" width="39.42578125" customWidth="1"/>
    <col min="14577" max="14577" width="6.7109375" customWidth="1"/>
    <col min="14578" max="14578" width="5.7109375" customWidth="1"/>
    <col min="14579" max="14579" width="5.85546875" customWidth="1"/>
    <col min="14580" max="14580" width="7.85546875" customWidth="1"/>
    <col min="14581" max="14581" width="14.28515625" customWidth="1"/>
    <col min="14582" max="14582" width="14" customWidth="1"/>
    <col min="14583" max="14583" width="10.140625" customWidth="1"/>
    <col min="14584" max="14584" width="11" customWidth="1"/>
    <col min="14585" max="14585" width="13.5703125" customWidth="1"/>
    <col min="14586" max="14586" width="8.7109375" customWidth="1"/>
    <col min="14587" max="14587" width="10.28515625" customWidth="1"/>
    <col min="14588" max="14588" width="15.28515625" customWidth="1"/>
    <col min="14589" max="14590" width="10.140625" customWidth="1"/>
    <col min="14591" max="14591" width="13.42578125" customWidth="1"/>
    <col min="14592" max="14593" width="10.140625" customWidth="1"/>
    <col min="14594" max="14594" width="12.42578125" customWidth="1"/>
    <col min="14595" max="14597" width="0" hidden="1" customWidth="1"/>
    <col min="14598" max="14598" width="11.5703125" customWidth="1"/>
    <col min="14599" max="14599" width="11.85546875" customWidth="1"/>
    <col min="14600" max="14600" width="15.7109375" customWidth="1"/>
    <col min="14601" max="14601" width="1.5703125" customWidth="1"/>
    <col min="14602" max="14602" width="10.5703125" customWidth="1"/>
    <col min="14603" max="14603" width="20.7109375" customWidth="1"/>
    <col min="14604" max="14604" width="2" customWidth="1"/>
    <col min="14605" max="14605" width="10.140625" customWidth="1"/>
    <col min="14606" max="14606" width="13.7109375" customWidth="1"/>
    <col min="14607" max="14607" width="9.42578125" customWidth="1"/>
    <col min="14608" max="14608" width="10.7109375" bestFit="1" customWidth="1"/>
    <col min="14609" max="14609" width="16.5703125" customWidth="1"/>
    <col min="14610" max="14610" width="16" customWidth="1"/>
    <col min="14611" max="14820" width="9.42578125" customWidth="1"/>
    <col min="14821" max="14821" width="7.140625" customWidth="1"/>
    <col min="14822" max="14822" width="35.28515625" customWidth="1"/>
    <col min="14823" max="14823" width="6.7109375" customWidth="1"/>
    <col min="14824" max="14824" width="5.7109375" customWidth="1"/>
    <col min="14825" max="14825" width="5.85546875" customWidth="1"/>
    <col min="14826" max="14826" width="7.85546875" customWidth="1"/>
    <col min="14831" max="14831" width="7.140625" customWidth="1"/>
    <col min="14832" max="14832" width="39.42578125" customWidth="1"/>
    <col min="14833" max="14833" width="6.7109375" customWidth="1"/>
    <col min="14834" max="14834" width="5.7109375" customWidth="1"/>
    <col min="14835" max="14835" width="5.85546875" customWidth="1"/>
    <col min="14836" max="14836" width="7.85546875" customWidth="1"/>
    <col min="14837" max="14837" width="14.28515625" customWidth="1"/>
    <col min="14838" max="14838" width="14" customWidth="1"/>
    <col min="14839" max="14839" width="10.140625" customWidth="1"/>
    <col min="14840" max="14840" width="11" customWidth="1"/>
    <col min="14841" max="14841" width="13.5703125" customWidth="1"/>
    <col min="14842" max="14842" width="8.7109375" customWidth="1"/>
    <col min="14843" max="14843" width="10.28515625" customWidth="1"/>
    <col min="14844" max="14844" width="15.28515625" customWidth="1"/>
    <col min="14845" max="14846" width="10.140625" customWidth="1"/>
    <col min="14847" max="14847" width="13.42578125" customWidth="1"/>
    <col min="14848" max="14849" width="10.140625" customWidth="1"/>
    <col min="14850" max="14850" width="12.42578125" customWidth="1"/>
    <col min="14851" max="14853" width="0" hidden="1" customWidth="1"/>
    <col min="14854" max="14854" width="11.5703125" customWidth="1"/>
    <col min="14855" max="14855" width="11.85546875" customWidth="1"/>
    <col min="14856" max="14856" width="15.7109375" customWidth="1"/>
    <col min="14857" max="14857" width="1.5703125" customWidth="1"/>
    <col min="14858" max="14858" width="10.5703125" customWidth="1"/>
    <col min="14859" max="14859" width="20.7109375" customWidth="1"/>
    <col min="14860" max="14860" width="2" customWidth="1"/>
    <col min="14861" max="14861" width="10.140625" customWidth="1"/>
    <col min="14862" max="14862" width="13.7109375" customWidth="1"/>
    <col min="14863" max="14863" width="9.42578125" customWidth="1"/>
    <col min="14864" max="14864" width="10.7109375" bestFit="1" customWidth="1"/>
    <col min="14865" max="14865" width="16.5703125" customWidth="1"/>
    <col min="14866" max="14866" width="16" customWidth="1"/>
    <col min="14867" max="15076" width="9.42578125" customWidth="1"/>
    <col min="15077" max="15077" width="7.140625" customWidth="1"/>
    <col min="15078" max="15078" width="35.28515625" customWidth="1"/>
    <col min="15079" max="15079" width="6.7109375" customWidth="1"/>
    <col min="15080" max="15080" width="5.7109375" customWidth="1"/>
    <col min="15081" max="15081" width="5.85546875" customWidth="1"/>
    <col min="15082" max="15082" width="7.85546875" customWidth="1"/>
    <col min="15087" max="15087" width="7.140625" customWidth="1"/>
    <col min="15088" max="15088" width="39.42578125" customWidth="1"/>
    <col min="15089" max="15089" width="6.7109375" customWidth="1"/>
    <col min="15090" max="15090" width="5.7109375" customWidth="1"/>
    <col min="15091" max="15091" width="5.85546875" customWidth="1"/>
    <col min="15092" max="15092" width="7.85546875" customWidth="1"/>
    <col min="15093" max="15093" width="14.28515625" customWidth="1"/>
    <col min="15094" max="15094" width="14" customWidth="1"/>
    <col min="15095" max="15095" width="10.140625" customWidth="1"/>
    <col min="15096" max="15096" width="11" customWidth="1"/>
    <col min="15097" max="15097" width="13.5703125" customWidth="1"/>
    <col min="15098" max="15098" width="8.7109375" customWidth="1"/>
    <col min="15099" max="15099" width="10.28515625" customWidth="1"/>
    <col min="15100" max="15100" width="15.28515625" customWidth="1"/>
    <col min="15101" max="15102" width="10.140625" customWidth="1"/>
    <col min="15103" max="15103" width="13.42578125" customWidth="1"/>
    <col min="15104" max="15105" width="10.140625" customWidth="1"/>
    <col min="15106" max="15106" width="12.42578125" customWidth="1"/>
    <col min="15107" max="15109" width="0" hidden="1" customWidth="1"/>
    <col min="15110" max="15110" width="11.5703125" customWidth="1"/>
    <col min="15111" max="15111" width="11.85546875" customWidth="1"/>
    <col min="15112" max="15112" width="15.7109375" customWidth="1"/>
    <col min="15113" max="15113" width="1.5703125" customWidth="1"/>
    <col min="15114" max="15114" width="10.5703125" customWidth="1"/>
    <col min="15115" max="15115" width="20.7109375" customWidth="1"/>
    <col min="15116" max="15116" width="2" customWidth="1"/>
    <col min="15117" max="15117" width="10.140625" customWidth="1"/>
    <col min="15118" max="15118" width="13.7109375" customWidth="1"/>
    <col min="15119" max="15119" width="9.42578125" customWidth="1"/>
    <col min="15120" max="15120" width="10.7109375" bestFit="1" customWidth="1"/>
    <col min="15121" max="15121" width="16.5703125" customWidth="1"/>
    <col min="15122" max="15122" width="16" customWidth="1"/>
    <col min="15123" max="15332" width="9.42578125" customWidth="1"/>
    <col min="15333" max="15333" width="7.140625" customWidth="1"/>
    <col min="15334" max="15334" width="35.28515625" customWidth="1"/>
    <col min="15335" max="15335" width="6.7109375" customWidth="1"/>
    <col min="15336" max="15336" width="5.7109375" customWidth="1"/>
    <col min="15337" max="15337" width="5.85546875" customWidth="1"/>
    <col min="15338" max="15338" width="7.85546875" customWidth="1"/>
    <col min="15343" max="15343" width="7.140625" customWidth="1"/>
    <col min="15344" max="15344" width="39.42578125" customWidth="1"/>
    <col min="15345" max="15345" width="6.7109375" customWidth="1"/>
    <col min="15346" max="15346" width="5.7109375" customWidth="1"/>
    <col min="15347" max="15347" width="5.85546875" customWidth="1"/>
    <col min="15348" max="15348" width="7.85546875" customWidth="1"/>
    <col min="15349" max="15349" width="14.28515625" customWidth="1"/>
    <col min="15350" max="15350" width="14" customWidth="1"/>
    <col min="15351" max="15351" width="10.140625" customWidth="1"/>
    <col min="15352" max="15352" width="11" customWidth="1"/>
    <col min="15353" max="15353" width="13.5703125" customWidth="1"/>
    <col min="15354" max="15354" width="8.7109375" customWidth="1"/>
    <col min="15355" max="15355" width="10.28515625" customWidth="1"/>
    <col min="15356" max="15356" width="15.28515625" customWidth="1"/>
    <col min="15357" max="15358" width="10.140625" customWidth="1"/>
    <col min="15359" max="15359" width="13.42578125" customWidth="1"/>
    <col min="15360" max="15361" width="10.140625" customWidth="1"/>
    <col min="15362" max="15362" width="12.42578125" customWidth="1"/>
    <col min="15363" max="15365" width="0" hidden="1" customWidth="1"/>
    <col min="15366" max="15366" width="11.5703125" customWidth="1"/>
    <col min="15367" max="15367" width="11.85546875" customWidth="1"/>
    <col min="15368" max="15368" width="15.7109375" customWidth="1"/>
    <col min="15369" max="15369" width="1.5703125" customWidth="1"/>
    <col min="15370" max="15370" width="10.5703125" customWidth="1"/>
    <col min="15371" max="15371" width="20.7109375" customWidth="1"/>
    <col min="15372" max="15372" width="2" customWidth="1"/>
    <col min="15373" max="15373" width="10.140625" customWidth="1"/>
    <col min="15374" max="15374" width="13.7109375" customWidth="1"/>
    <col min="15375" max="15375" width="9.42578125" customWidth="1"/>
    <col min="15376" max="15376" width="10.7109375" bestFit="1" customWidth="1"/>
    <col min="15377" max="15377" width="16.5703125" customWidth="1"/>
    <col min="15378" max="15378" width="16" customWidth="1"/>
    <col min="15379" max="15588" width="9.42578125" customWidth="1"/>
    <col min="15589" max="15589" width="7.140625" customWidth="1"/>
    <col min="15590" max="15590" width="35.28515625" customWidth="1"/>
    <col min="15591" max="15591" width="6.7109375" customWidth="1"/>
    <col min="15592" max="15592" width="5.7109375" customWidth="1"/>
    <col min="15593" max="15593" width="5.85546875" customWidth="1"/>
    <col min="15594" max="15594" width="7.85546875" customWidth="1"/>
    <col min="15599" max="15599" width="7.140625" customWidth="1"/>
    <col min="15600" max="15600" width="39.42578125" customWidth="1"/>
    <col min="15601" max="15601" width="6.7109375" customWidth="1"/>
    <col min="15602" max="15602" width="5.7109375" customWidth="1"/>
    <col min="15603" max="15603" width="5.85546875" customWidth="1"/>
    <col min="15604" max="15604" width="7.85546875" customWidth="1"/>
    <col min="15605" max="15605" width="14.28515625" customWidth="1"/>
    <col min="15606" max="15606" width="14" customWidth="1"/>
    <col min="15607" max="15607" width="10.140625" customWidth="1"/>
    <col min="15608" max="15608" width="11" customWidth="1"/>
    <col min="15609" max="15609" width="13.5703125" customWidth="1"/>
    <col min="15610" max="15610" width="8.7109375" customWidth="1"/>
    <col min="15611" max="15611" width="10.28515625" customWidth="1"/>
    <col min="15612" max="15612" width="15.28515625" customWidth="1"/>
    <col min="15613" max="15614" width="10.140625" customWidth="1"/>
    <col min="15615" max="15615" width="13.42578125" customWidth="1"/>
    <col min="15616" max="15617" width="10.140625" customWidth="1"/>
    <col min="15618" max="15618" width="12.42578125" customWidth="1"/>
    <col min="15619" max="15621" width="0" hidden="1" customWidth="1"/>
    <col min="15622" max="15622" width="11.5703125" customWidth="1"/>
    <col min="15623" max="15623" width="11.85546875" customWidth="1"/>
    <col min="15624" max="15624" width="15.7109375" customWidth="1"/>
    <col min="15625" max="15625" width="1.5703125" customWidth="1"/>
    <col min="15626" max="15626" width="10.5703125" customWidth="1"/>
    <col min="15627" max="15627" width="20.7109375" customWidth="1"/>
    <col min="15628" max="15628" width="2" customWidth="1"/>
    <col min="15629" max="15629" width="10.140625" customWidth="1"/>
    <col min="15630" max="15630" width="13.7109375" customWidth="1"/>
    <col min="15631" max="15631" width="9.42578125" customWidth="1"/>
    <col min="15632" max="15632" width="10.7109375" bestFit="1" customWidth="1"/>
    <col min="15633" max="15633" width="16.5703125" customWidth="1"/>
    <col min="15634" max="15634" width="16" customWidth="1"/>
    <col min="15635" max="15844" width="9.42578125" customWidth="1"/>
    <col min="15845" max="15845" width="7.140625" customWidth="1"/>
    <col min="15846" max="15846" width="35.28515625" customWidth="1"/>
    <col min="15847" max="15847" width="6.7109375" customWidth="1"/>
    <col min="15848" max="15848" width="5.7109375" customWidth="1"/>
    <col min="15849" max="15849" width="5.85546875" customWidth="1"/>
    <col min="15850" max="15850" width="7.85546875" customWidth="1"/>
    <col min="15855" max="15855" width="7.140625" customWidth="1"/>
    <col min="15856" max="15856" width="39.42578125" customWidth="1"/>
    <col min="15857" max="15857" width="6.7109375" customWidth="1"/>
    <col min="15858" max="15858" width="5.7109375" customWidth="1"/>
    <col min="15859" max="15859" width="5.85546875" customWidth="1"/>
    <col min="15860" max="15860" width="7.85546875" customWidth="1"/>
    <col min="15861" max="15861" width="14.28515625" customWidth="1"/>
    <col min="15862" max="15862" width="14" customWidth="1"/>
    <col min="15863" max="15863" width="10.140625" customWidth="1"/>
    <col min="15864" max="15864" width="11" customWidth="1"/>
    <col min="15865" max="15865" width="13.5703125" customWidth="1"/>
    <col min="15866" max="15866" width="8.7109375" customWidth="1"/>
    <col min="15867" max="15867" width="10.28515625" customWidth="1"/>
    <col min="15868" max="15868" width="15.28515625" customWidth="1"/>
    <col min="15869" max="15870" width="10.140625" customWidth="1"/>
    <col min="15871" max="15871" width="13.42578125" customWidth="1"/>
    <col min="15872" max="15873" width="10.140625" customWidth="1"/>
    <col min="15874" max="15874" width="12.42578125" customWidth="1"/>
    <col min="15875" max="15877" width="0" hidden="1" customWidth="1"/>
    <col min="15878" max="15878" width="11.5703125" customWidth="1"/>
    <col min="15879" max="15879" width="11.85546875" customWidth="1"/>
    <col min="15880" max="15880" width="15.7109375" customWidth="1"/>
    <col min="15881" max="15881" width="1.5703125" customWidth="1"/>
    <col min="15882" max="15882" width="10.5703125" customWidth="1"/>
    <col min="15883" max="15883" width="20.7109375" customWidth="1"/>
    <col min="15884" max="15884" width="2" customWidth="1"/>
    <col min="15885" max="15885" width="10.140625" customWidth="1"/>
    <col min="15886" max="15886" width="13.7109375" customWidth="1"/>
    <col min="15887" max="15887" width="9.42578125" customWidth="1"/>
    <col min="15888" max="15888" width="10.7109375" bestFit="1" customWidth="1"/>
    <col min="15889" max="15889" width="16.5703125" customWidth="1"/>
    <col min="15890" max="15890" width="16" customWidth="1"/>
    <col min="15891" max="16100" width="9.42578125" customWidth="1"/>
    <col min="16101" max="16101" width="7.140625" customWidth="1"/>
    <col min="16102" max="16102" width="35.28515625" customWidth="1"/>
    <col min="16103" max="16103" width="6.7109375" customWidth="1"/>
    <col min="16104" max="16104" width="5.7109375" customWidth="1"/>
    <col min="16105" max="16105" width="5.85546875" customWidth="1"/>
    <col min="16106" max="16106" width="7.85546875" customWidth="1"/>
    <col min="16111" max="16111" width="7.140625" customWidth="1"/>
    <col min="16112" max="16112" width="39.42578125" customWidth="1"/>
    <col min="16113" max="16113" width="6.7109375" customWidth="1"/>
    <col min="16114" max="16114" width="5.7109375" customWidth="1"/>
    <col min="16115" max="16115" width="5.85546875" customWidth="1"/>
    <col min="16116" max="16116" width="7.85546875" customWidth="1"/>
    <col min="16117" max="16117" width="14.28515625" customWidth="1"/>
    <col min="16118" max="16118" width="14" customWidth="1"/>
    <col min="16119" max="16119" width="10.140625" customWidth="1"/>
    <col min="16120" max="16120" width="11" customWidth="1"/>
    <col min="16121" max="16121" width="13.5703125" customWidth="1"/>
    <col min="16122" max="16122" width="8.7109375" customWidth="1"/>
    <col min="16123" max="16123" width="10.28515625" customWidth="1"/>
    <col min="16124" max="16124" width="15.28515625" customWidth="1"/>
    <col min="16125" max="16126" width="10.140625" customWidth="1"/>
    <col min="16127" max="16127" width="13.42578125" customWidth="1"/>
    <col min="16128" max="16129" width="10.140625" customWidth="1"/>
    <col min="16130" max="16130" width="12.42578125" customWidth="1"/>
    <col min="16131" max="16133" width="0" hidden="1" customWidth="1"/>
    <col min="16134" max="16134" width="11.5703125" customWidth="1"/>
    <col min="16135" max="16135" width="11.85546875" customWidth="1"/>
    <col min="16136" max="16136" width="15.7109375" customWidth="1"/>
    <col min="16137" max="16137" width="1.5703125" customWidth="1"/>
    <col min="16138" max="16138" width="10.5703125" customWidth="1"/>
    <col min="16139" max="16139" width="20.7109375" customWidth="1"/>
    <col min="16140" max="16140" width="2" customWidth="1"/>
    <col min="16141" max="16141" width="10.140625" customWidth="1"/>
    <col min="16142" max="16142" width="13.7109375" customWidth="1"/>
    <col min="16143" max="16143" width="9.42578125" customWidth="1"/>
    <col min="16144" max="16144" width="10.7109375" bestFit="1" customWidth="1"/>
    <col min="16145" max="16145" width="16.5703125" customWidth="1"/>
    <col min="16146" max="16146" width="16" customWidth="1"/>
    <col min="16147" max="16356" width="9.42578125" customWidth="1"/>
    <col min="16357" max="16357" width="7.140625" customWidth="1"/>
    <col min="16358" max="16358" width="35.28515625" customWidth="1"/>
    <col min="16359" max="16359" width="6.7109375" customWidth="1"/>
    <col min="16360" max="16360" width="5.7109375" customWidth="1"/>
    <col min="16361" max="16361" width="5.85546875" customWidth="1"/>
    <col min="16362" max="16362" width="7.85546875" customWidth="1"/>
  </cols>
  <sheetData>
    <row r="2" spans="1:18" ht="15.75" x14ac:dyDescent="0.25">
      <c r="A2" s="1" t="s">
        <v>85</v>
      </c>
      <c r="B2" s="1"/>
      <c r="C2" s="2"/>
      <c r="D2" s="2"/>
      <c r="E2" s="2"/>
    </row>
    <row r="3" spans="1:18" ht="15.75" x14ac:dyDescent="0.25">
      <c r="A3" s="5" t="s">
        <v>103</v>
      </c>
      <c r="B3" s="5"/>
      <c r="C3" s="5"/>
      <c r="D3" s="2"/>
      <c r="E3" s="2"/>
      <c r="J3" s="7"/>
      <c r="K3" s="7"/>
    </row>
    <row r="4" spans="1:18" ht="15.75" thickBot="1" x14ac:dyDescent="0.3">
      <c r="J4" s="7"/>
      <c r="K4" s="7"/>
    </row>
    <row r="5" spans="1:18" ht="19.5" thickBot="1" x14ac:dyDescent="0.3">
      <c r="A5" s="8" t="s">
        <v>0</v>
      </c>
      <c r="B5" s="8" t="s">
        <v>1</v>
      </c>
      <c r="C5" s="328" t="s">
        <v>2</v>
      </c>
      <c r="D5" s="328"/>
      <c r="E5" s="328"/>
      <c r="F5" s="335" t="s">
        <v>104</v>
      </c>
      <c r="G5" s="335"/>
      <c r="H5" s="335"/>
      <c r="I5" s="9"/>
      <c r="J5" s="334" t="s">
        <v>86</v>
      </c>
      <c r="K5" s="334"/>
      <c r="L5" s="9"/>
      <c r="M5" s="329" t="s">
        <v>5</v>
      </c>
      <c r="N5" s="329"/>
    </row>
    <row r="6" spans="1:18" ht="30.75" thickBot="1" x14ac:dyDescent="0.3">
      <c r="A6" s="10"/>
      <c r="B6" s="10"/>
      <c r="C6" s="11" t="s">
        <v>6</v>
      </c>
      <c r="D6" s="12" t="s">
        <v>7</v>
      </c>
      <c r="E6" s="249" t="s">
        <v>8</v>
      </c>
      <c r="F6" s="13" t="s">
        <v>9</v>
      </c>
      <c r="G6" s="14" t="s">
        <v>10</v>
      </c>
      <c r="H6" s="15" t="s">
        <v>11</v>
      </c>
      <c r="I6" s="18"/>
      <c r="J6" s="19" t="s">
        <v>10</v>
      </c>
      <c r="K6" s="15" t="s">
        <v>11</v>
      </c>
      <c r="L6" s="20"/>
      <c r="M6" s="21" t="s">
        <v>12</v>
      </c>
      <c r="N6" s="15" t="s">
        <v>13</v>
      </c>
    </row>
    <row r="7" spans="1:18" x14ac:dyDescent="0.25">
      <c r="A7" s="22"/>
      <c r="B7" s="23"/>
      <c r="C7" s="24"/>
      <c r="D7" s="25"/>
      <c r="E7" s="26"/>
      <c r="F7" s="24"/>
      <c r="G7" s="27"/>
      <c r="H7" s="28"/>
      <c r="J7" s="24"/>
      <c r="K7" s="31"/>
      <c r="M7" s="23"/>
      <c r="N7" s="30"/>
    </row>
    <row r="8" spans="1:18" x14ac:dyDescent="0.25">
      <c r="A8" s="32">
        <v>1</v>
      </c>
      <c r="B8" s="33" t="s">
        <v>14</v>
      </c>
      <c r="C8" s="34">
        <v>2</v>
      </c>
      <c r="D8" s="35">
        <v>0</v>
      </c>
      <c r="E8" s="36">
        <f t="shared" ref="E8:E26" si="0">C8+D8</f>
        <v>2</v>
      </c>
      <c r="F8" s="34">
        <v>3</v>
      </c>
      <c r="G8" s="35">
        <v>19</v>
      </c>
      <c r="H8" s="39">
        <v>893383.54913294804</v>
      </c>
      <c r="J8" s="40"/>
      <c r="K8" s="41"/>
      <c r="M8" s="253" t="e">
        <f>G8/J8</f>
        <v>#DIV/0!</v>
      </c>
      <c r="N8" s="254" t="e">
        <f>H8/K8</f>
        <v>#DIV/0!</v>
      </c>
    </row>
    <row r="9" spans="1:18" x14ac:dyDescent="0.25">
      <c r="A9" s="32">
        <f t="shared" ref="A9:A26" si="1">A8+1</f>
        <v>2</v>
      </c>
      <c r="B9" s="33" t="s">
        <v>15</v>
      </c>
      <c r="C9" s="34">
        <v>6</v>
      </c>
      <c r="D9" s="35">
        <v>1</v>
      </c>
      <c r="E9" s="36">
        <f t="shared" si="0"/>
        <v>7</v>
      </c>
      <c r="F9" s="34">
        <v>10</v>
      </c>
      <c r="G9" s="35">
        <v>68</v>
      </c>
      <c r="H9" s="39">
        <v>3321606.0867052022</v>
      </c>
      <c r="J9" s="40"/>
      <c r="K9" s="41"/>
      <c r="M9" s="253" t="e">
        <f t="shared" ref="M9:M39" si="2">G9/J9</f>
        <v>#DIV/0!</v>
      </c>
      <c r="N9" s="254" t="e">
        <f t="shared" ref="N9:N39" si="3">H9/K9</f>
        <v>#DIV/0!</v>
      </c>
    </row>
    <row r="10" spans="1:18" x14ac:dyDescent="0.25">
      <c r="A10" s="32">
        <f t="shared" si="1"/>
        <v>3</v>
      </c>
      <c r="B10" s="33" t="s">
        <v>16</v>
      </c>
      <c r="C10" s="34">
        <v>6</v>
      </c>
      <c r="D10" s="35">
        <v>5</v>
      </c>
      <c r="E10" s="36">
        <f t="shared" si="0"/>
        <v>11</v>
      </c>
      <c r="F10" s="34">
        <v>8</v>
      </c>
      <c r="G10" s="35">
        <v>56</v>
      </c>
      <c r="H10" s="39">
        <v>2575784.809248555</v>
      </c>
      <c r="J10" s="40"/>
      <c r="K10" s="41"/>
      <c r="M10" s="253" t="e">
        <f t="shared" si="2"/>
        <v>#DIV/0!</v>
      </c>
      <c r="N10" s="254" t="e">
        <f t="shared" si="3"/>
        <v>#DIV/0!</v>
      </c>
    </row>
    <row r="11" spans="1:18" x14ac:dyDescent="0.25">
      <c r="A11" s="32">
        <f t="shared" si="1"/>
        <v>4</v>
      </c>
      <c r="B11" s="44" t="s">
        <v>17</v>
      </c>
      <c r="C11" s="45">
        <v>2</v>
      </c>
      <c r="D11" s="46">
        <v>6</v>
      </c>
      <c r="E11" s="36">
        <f t="shared" si="0"/>
        <v>8</v>
      </c>
      <c r="F11" s="34">
        <v>0</v>
      </c>
      <c r="G11" s="35">
        <v>0</v>
      </c>
      <c r="H11" s="39">
        <v>0</v>
      </c>
      <c r="J11" s="40"/>
      <c r="K11" s="41"/>
      <c r="M11" s="253" t="e">
        <f t="shared" si="2"/>
        <v>#DIV/0!</v>
      </c>
      <c r="N11" s="254" t="e">
        <f t="shared" si="3"/>
        <v>#DIV/0!</v>
      </c>
      <c r="R11" s="47"/>
    </row>
    <row r="12" spans="1:18" x14ac:dyDescent="0.25">
      <c r="A12" s="32">
        <f t="shared" si="1"/>
        <v>5</v>
      </c>
      <c r="B12" s="33" t="s">
        <v>18</v>
      </c>
      <c r="C12" s="34">
        <v>1</v>
      </c>
      <c r="D12" s="35">
        <v>0</v>
      </c>
      <c r="E12" s="36">
        <f t="shared" si="0"/>
        <v>1</v>
      </c>
      <c r="F12" s="34">
        <v>0</v>
      </c>
      <c r="G12" s="35">
        <v>0</v>
      </c>
      <c r="H12" s="39">
        <v>0</v>
      </c>
      <c r="J12" s="40"/>
      <c r="K12" s="41"/>
      <c r="M12" s="253" t="e">
        <f t="shared" si="2"/>
        <v>#DIV/0!</v>
      </c>
      <c r="N12" s="254" t="e">
        <f t="shared" si="3"/>
        <v>#DIV/0!</v>
      </c>
      <c r="R12" s="47"/>
    </row>
    <row r="13" spans="1:18" x14ac:dyDescent="0.25">
      <c r="A13" s="32">
        <f t="shared" si="1"/>
        <v>6</v>
      </c>
      <c r="B13" s="33" t="s">
        <v>19</v>
      </c>
      <c r="C13" s="34">
        <v>1</v>
      </c>
      <c r="D13" s="35">
        <v>0</v>
      </c>
      <c r="E13" s="36">
        <f t="shared" si="0"/>
        <v>1</v>
      </c>
      <c r="F13" s="34">
        <v>0</v>
      </c>
      <c r="G13" s="35">
        <v>0</v>
      </c>
      <c r="H13" s="39">
        <v>0</v>
      </c>
      <c r="I13" s="48"/>
      <c r="J13" s="40"/>
      <c r="K13" s="41"/>
      <c r="L13" s="48"/>
      <c r="M13" s="253" t="e">
        <f t="shared" si="2"/>
        <v>#DIV/0!</v>
      </c>
      <c r="N13" s="254" t="e">
        <f t="shared" si="3"/>
        <v>#DIV/0!</v>
      </c>
      <c r="R13" s="47"/>
    </row>
    <row r="14" spans="1:18" x14ac:dyDescent="0.25">
      <c r="A14" s="32">
        <f t="shared" si="1"/>
        <v>7</v>
      </c>
      <c r="B14" s="33" t="s">
        <v>20</v>
      </c>
      <c r="C14" s="34">
        <v>0</v>
      </c>
      <c r="D14" s="35">
        <v>0</v>
      </c>
      <c r="E14" s="36">
        <f t="shared" si="0"/>
        <v>0</v>
      </c>
      <c r="F14" s="34">
        <v>0</v>
      </c>
      <c r="G14" s="35">
        <v>0</v>
      </c>
      <c r="H14" s="39">
        <v>0</v>
      </c>
      <c r="I14" s="48"/>
      <c r="J14" s="40"/>
      <c r="K14" s="41"/>
      <c r="L14" s="48"/>
      <c r="M14" s="253" t="e">
        <f t="shared" si="2"/>
        <v>#DIV/0!</v>
      </c>
      <c r="N14" s="254" t="e">
        <f t="shared" si="3"/>
        <v>#DIV/0!</v>
      </c>
      <c r="R14" s="47"/>
    </row>
    <row r="15" spans="1:18" x14ac:dyDescent="0.25">
      <c r="A15" s="32">
        <f t="shared" si="1"/>
        <v>8</v>
      </c>
      <c r="B15" s="33" t="s">
        <v>21</v>
      </c>
      <c r="C15" s="34">
        <v>2</v>
      </c>
      <c r="D15" s="35">
        <v>1</v>
      </c>
      <c r="E15" s="36">
        <f t="shared" si="0"/>
        <v>3</v>
      </c>
      <c r="F15" s="34">
        <v>5</v>
      </c>
      <c r="G15" s="35">
        <v>34</v>
      </c>
      <c r="H15" s="39">
        <v>1703479.7572254334</v>
      </c>
      <c r="I15" s="48"/>
      <c r="J15" s="40"/>
      <c r="K15" s="41"/>
      <c r="L15" s="48"/>
      <c r="M15" s="253" t="e">
        <f t="shared" si="2"/>
        <v>#DIV/0!</v>
      </c>
      <c r="N15" s="254" t="e">
        <f t="shared" si="3"/>
        <v>#DIV/0!</v>
      </c>
      <c r="R15" s="47"/>
    </row>
    <row r="16" spans="1:18" x14ac:dyDescent="0.25">
      <c r="A16" s="32">
        <f t="shared" si="1"/>
        <v>9</v>
      </c>
      <c r="B16" s="33" t="s">
        <v>22</v>
      </c>
      <c r="C16" s="34">
        <v>0</v>
      </c>
      <c r="D16" s="35">
        <v>0</v>
      </c>
      <c r="E16" s="36">
        <f t="shared" si="0"/>
        <v>0</v>
      </c>
      <c r="F16" s="34">
        <v>0</v>
      </c>
      <c r="G16" s="35">
        <v>0</v>
      </c>
      <c r="H16" s="39">
        <v>0</v>
      </c>
      <c r="I16" s="48"/>
      <c r="J16" s="40"/>
      <c r="K16" s="41"/>
      <c r="L16" s="48"/>
      <c r="M16" s="253" t="e">
        <f t="shared" si="2"/>
        <v>#DIV/0!</v>
      </c>
      <c r="N16" s="254" t="e">
        <f t="shared" si="3"/>
        <v>#DIV/0!</v>
      </c>
    </row>
    <row r="17" spans="1:14" x14ac:dyDescent="0.25">
      <c r="A17" s="32">
        <f t="shared" si="1"/>
        <v>10</v>
      </c>
      <c r="B17" s="33" t="s">
        <v>23</v>
      </c>
      <c r="C17" s="34">
        <v>8</v>
      </c>
      <c r="D17" s="35">
        <v>1</v>
      </c>
      <c r="E17" s="36">
        <f t="shared" si="0"/>
        <v>9</v>
      </c>
      <c r="F17" s="34">
        <v>1</v>
      </c>
      <c r="G17" s="35">
        <v>4</v>
      </c>
      <c r="H17" s="39">
        <v>187691</v>
      </c>
      <c r="I17" s="48"/>
      <c r="J17" s="40"/>
      <c r="K17" s="41"/>
      <c r="L17" s="48"/>
      <c r="M17" s="253" t="e">
        <f t="shared" si="2"/>
        <v>#DIV/0!</v>
      </c>
      <c r="N17" s="254" t="e">
        <f t="shared" si="3"/>
        <v>#DIV/0!</v>
      </c>
    </row>
    <row r="18" spans="1:14" x14ac:dyDescent="0.25">
      <c r="A18" s="32">
        <f t="shared" si="1"/>
        <v>11</v>
      </c>
      <c r="B18" s="33" t="s">
        <v>24</v>
      </c>
      <c r="C18" s="34">
        <v>7</v>
      </c>
      <c r="D18" s="35">
        <v>2</v>
      </c>
      <c r="E18" s="36">
        <f t="shared" si="0"/>
        <v>9</v>
      </c>
      <c r="F18" s="34">
        <v>4</v>
      </c>
      <c r="G18" s="35">
        <v>23</v>
      </c>
      <c r="H18" s="39">
        <v>1086130.7745664739</v>
      </c>
      <c r="I18" s="48"/>
      <c r="J18" s="40"/>
      <c r="K18" s="41"/>
      <c r="L18" s="48"/>
      <c r="M18" s="253" t="e">
        <f t="shared" si="2"/>
        <v>#DIV/0!</v>
      </c>
      <c r="N18" s="254" t="e">
        <f t="shared" si="3"/>
        <v>#DIV/0!</v>
      </c>
    </row>
    <row r="19" spans="1:14" s="48" customFormat="1" x14ac:dyDescent="0.25">
      <c r="A19" s="51">
        <f t="shared" si="1"/>
        <v>12</v>
      </c>
      <c r="B19" s="52" t="s">
        <v>25</v>
      </c>
      <c r="C19" s="53">
        <v>5</v>
      </c>
      <c r="D19" s="54">
        <v>0</v>
      </c>
      <c r="E19" s="55">
        <f t="shared" si="0"/>
        <v>5</v>
      </c>
      <c r="F19" s="53">
        <v>7</v>
      </c>
      <c r="G19" s="54">
        <v>44</v>
      </c>
      <c r="H19" s="56">
        <v>2223487.3757225433</v>
      </c>
      <c r="J19" s="40"/>
      <c r="K19" s="41"/>
      <c r="M19" s="253" t="e">
        <f t="shared" si="2"/>
        <v>#DIV/0!</v>
      </c>
      <c r="N19" s="254" t="e">
        <f t="shared" si="3"/>
        <v>#DIV/0!</v>
      </c>
    </row>
    <row r="20" spans="1:14" x14ac:dyDescent="0.25">
      <c r="A20" s="32">
        <f t="shared" si="1"/>
        <v>13</v>
      </c>
      <c r="B20" s="33" t="s">
        <v>26</v>
      </c>
      <c r="C20" s="34">
        <v>10</v>
      </c>
      <c r="D20" s="35">
        <v>6</v>
      </c>
      <c r="E20" s="36">
        <f t="shared" si="0"/>
        <v>16</v>
      </c>
      <c r="F20" s="34">
        <v>13</v>
      </c>
      <c r="G20" s="35">
        <v>91</v>
      </c>
      <c r="H20" s="39">
        <v>4087500</v>
      </c>
      <c r="I20" s="48"/>
      <c r="J20" s="40"/>
      <c r="K20" s="41"/>
      <c r="L20" s="48"/>
      <c r="M20" s="253" t="e">
        <f t="shared" si="2"/>
        <v>#DIV/0!</v>
      </c>
      <c r="N20" s="254" t="e">
        <f t="shared" si="3"/>
        <v>#DIV/0!</v>
      </c>
    </row>
    <row r="21" spans="1:14" x14ac:dyDescent="0.25">
      <c r="A21" s="32">
        <f t="shared" si="1"/>
        <v>14</v>
      </c>
      <c r="B21" s="33" t="s">
        <v>27</v>
      </c>
      <c r="C21" s="34">
        <v>3</v>
      </c>
      <c r="D21" s="35">
        <v>6</v>
      </c>
      <c r="E21" s="36">
        <f t="shared" si="0"/>
        <v>9</v>
      </c>
      <c r="F21" s="34">
        <v>7</v>
      </c>
      <c r="G21" s="35">
        <v>39</v>
      </c>
      <c r="H21" s="39">
        <v>1677905.3641618497</v>
      </c>
      <c r="I21" s="48"/>
      <c r="J21" s="40"/>
      <c r="K21" s="41"/>
      <c r="L21" s="48"/>
      <c r="M21" s="253" t="e">
        <f t="shared" si="2"/>
        <v>#DIV/0!</v>
      </c>
      <c r="N21" s="254" t="e">
        <f t="shared" si="3"/>
        <v>#DIV/0!</v>
      </c>
    </row>
    <row r="22" spans="1:14" x14ac:dyDescent="0.25">
      <c r="A22" s="32">
        <f t="shared" si="1"/>
        <v>15</v>
      </c>
      <c r="B22" s="57" t="s">
        <v>28</v>
      </c>
      <c r="C22" s="34">
        <v>10</v>
      </c>
      <c r="D22" s="35">
        <v>7</v>
      </c>
      <c r="E22" s="36">
        <f t="shared" si="0"/>
        <v>17</v>
      </c>
      <c r="F22" s="34">
        <v>40</v>
      </c>
      <c r="G22" s="35">
        <v>310</v>
      </c>
      <c r="H22" s="39">
        <v>13654007.572254336</v>
      </c>
      <c r="I22" s="48"/>
      <c r="J22" s="40"/>
      <c r="K22" s="41"/>
      <c r="L22" s="48"/>
      <c r="M22" s="253" t="e">
        <f t="shared" si="2"/>
        <v>#DIV/0!</v>
      </c>
      <c r="N22" s="254" t="e">
        <f t="shared" si="3"/>
        <v>#DIV/0!</v>
      </c>
    </row>
    <row r="23" spans="1:14" x14ac:dyDescent="0.25">
      <c r="A23" s="32">
        <f t="shared" si="1"/>
        <v>16</v>
      </c>
      <c r="B23" s="33" t="s">
        <v>29</v>
      </c>
      <c r="C23" s="34">
        <v>20</v>
      </c>
      <c r="D23" s="35">
        <v>3</v>
      </c>
      <c r="E23" s="36">
        <f t="shared" si="0"/>
        <v>23</v>
      </c>
      <c r="F23" s="34">
        <v>0</v>
      </c>
      <c r="G23" s="35">
        <v>0</v>
      </c>
      <c r="H23" s="39">
        <v>0</v>
      </c>
      <c r="J23" s="58">
        <v>280</v>
      </c>
      <c r="K23" s="59">
        <v>14367087.768786129</v>
      </c>
      <c r="M23" s="253">
        <f t="shared" si="2"/>
        <v>0</v>
      </c>
      <c r="N23" s="254">
        <f t="shared" si="3"/>
        <v>0</v>
      </c>
    </row>
    <row r="24" spans="1:14" x14ac:dyDescent="0.25">
      <c r="A24" s="32">
        <f t="shared" si="1"/>
        <v>17</v>
      </c>
      <c r="B24" s="33" t="s">
        <v>30</v>
      </c>
      <c r="C24" s="34">
        <v>0</v>
      </c>
      <c r="D24" s="35">
        <v>7</v>
      </c>
      <c r="E24" s="36">
        <f t="shared" si="0"/>
        <v>7</v>
      </c>
      <c r="F24" s="34">
        <v>9</v>
      </c>
      <c r="G24" s="35">
        <v>95</v>
      </c>
      <c r="H24" s="39">
        <v>4381364.0462427745</v>
      </c>
      <c r="J24" s="40"/>
      <c r="K24" s="41"/>
      <c r="M24" s="253" t="e">
        <f t="shared" si="2"/>
        <v>#DIV/0!</v>
      </c>
      <c r="N24" s="254" t="e">
        <f t="shared" si="3"/>
        <v>#DIV/0!</v>
      </c>
    </row>
    <row r="25" spans="1:14" x14ac:dyDescent="0.25">
      <c r="A25" s="32">
        <f t="shared" si="1"/>
        <v>18</v>
      </c>
      <c r="B25" s="33" t="s">
        <v>31</v>
      </c>
      <c r="C25" s="34">
        <v>5</v>
      </c>
      <c r="D25" s="35">
        <v>11</v>
      </c>
      <c r="E25" s="36">
        <f t="shared" si="0"/>
        <v>16</v>
      </c>
      <c r="F25" s="34">
        <v>4</v>
      </c>
      <c r="G25" s="35">
        <v>25</v>
      </c>
      <c r="H25" s="39">
        <v>1224960.25433526</v>
      </c>
      <c r="J25" s="40">
        <v>197</v>
      </c>
      <c r="K25" s="41">
        <v>8499878.034682082</v>
      </c>
      <c r="M25" s="42">
        <f t="shared" si="2"/>
        <v>0.12690355329949238</v>
      </c>
      <c r="N25" s="43">
        <f t="shared" si="3"/>
        <v>0.14411503898491843</v>
      </c>
    </row>
    <row r="26" spans="1:14" x14ac:dyDescent="0.25">
      <c r="A26" s="60">
        <f t="shared" si="1"/>
        <v>19</v>
      </c>
      <c r="B26" s="61" t="s">
        <v>32</v>
      </c>
      <c r="C26" s="62">
        <v>26</v>
      </c>
      <c r="D26" s="63">
        <v>10</v>
      </c>
      <c r="E26" s="64">
        <f t="shared" si="0"/>
        <v>36</v>
      </c>
      <c r="F26" s="34">
        <v>0</v>
      </c>
      <c r="G26" s="35">
        <v>0</v>
      </c>
      <c r="H26" s="39">
        <v>0</v>
      </c>
      <c r="J26" s="40">
        <v>504</v>
      </c>
      <c r="K26" s="41">
        <v>26192104.578034684</v>
      </c>
      <c r="M26" s="253">
        <f t="shared" si="2"/>
        <v>0</v>
      </c>
      <c r="N26" s="254">
        <f t="shared" si="3"/>
        <v>0</v>
      </c>
    </row>
    <row r="27" spans="1:14" x14ac:dyDescent="0.25">
      <c r="A27" s="32"/>
      <c r="B27" s="61" t="s">
        <v>33</v>
      </c>
      <c r="C27" s="34"/>
      <c r="D27" s="35"/>
      <c r="E27" s="36"/>
      <c r="F27" s="34">
        <v>1</v>
      </c>
      <c r="G27" s="35">
        <v>8</v>
      </c>
      <c r="H27" s="39">
        <v>394595.37572254339</v>
      </c>
      <c r="J27" s="67"/>
      <c r="K27" s="68"/>
      <c r="M27" s="253" t="e">
        <f t="shared" si="2"/>
        <v>#DIV/0!</v>
      </c>
      <c r="N27" s="254" t="e">
        <f t="shared" si="3"/>
        <v>#DIV/0!</v>
      </c>
    </row>
    <row r="28" spans="1:14" x14ac:dyDescent="0.25">
      <c r="A28" s="32"/>
      <c r="B28" s="33" t="s">
        <v>34</v>
      </c>
      <c r="C28" s="34"/>
      <c r="D28" s="35"/>
      <c r="E28" s="36"/>
      <c r="F28" s="34">
        <v>26</v>
      </c>
      <c r="G28" s="35">
        <v>182</v>
      </c>
      <c r="H28" s="39">
        <v>9071998.2312138751</v>
      </c>
      <c r="J28" s="40"/>
      <c r="K28" s="41"/>
      <c r="M28" s="253" t="e">
        <f t="shared" si="2"/>
        <v>#DIV/0!</v>
      </c>
      <c r="N28" s="254" t="e">
        <f t="shared" si="3"/>
        <v>#DIV/0!</v>
      </c>
    </row>
    <row r="29" spans="1:14" x14ac:dyDescent="0.25">
      <c r="A29" s="32">
        <v>20</v>
      </c>
      <c r="B29" s="33" t="s">
        <v>35</v>
      </c>
      <c r="C29" s="34">
        <v>0</v>
      </c>
      <c r="D29" s="35">
        <v>3</v>
      </c>
      <c r="E29" s="36">
        <f t="shared" ref="E29:E39" si="4">C29+D29</f>
        <v>3</v>
      </c>
      <c r="F29" s="34">
        <v>4</v>
      </c>
      <c r="G29" s="35">
        <v>22</v>
      </c>
      <c r="H29" s="39">
        <v>1057257.4393063583</v>
      </c>
      <c r="J29" s="40"/>
      <c r="K29" s="41"/>
      <c r="M29" s="253" t="e">
        <f t="shared" si="2"/>
        <v>#DIV/0!</v>
      </c>
      <c r="N29" s="254" t="e">
        <f t="shared" si="3"/>
        <v>#DIV/0!</v>
      </c>
    </row>
    <row r="30" spans="1:14" x14ac:dyDescent="0.25">
      <c r="A30" s="60">
        <f t="shared" ref="A30:A39" si="5">A29+1</f>
        <v>21</v>
      </c>
      <c r="B30" s="61" t="s">
        <v>36</v>
      </c>
      <c r="C30" s="62">
        <v>8</v>
      </c>
      <c r="D30" s="63">
        <v>1</v>
      </c>
      <c r="E30" s="64">
        <f t="shared" si="4"/>
        <v>9</v>
      </c>
      <c r="F30" s="34">
        <v>6</v>
      </c>
      <c r="G30" s="35">
        <v>47</v>
      </c>
      <c r="H30" s="39">
        <v>2356510.4046242773</v>
      </c>
      <c r="J30" s="40"/>
      <c r="K30" s="41"/>
      <c r="M30" s="253" t="e">
        <f t="shared" si="2"/>
        <v>#DIV/0!</v>
      </c>
      <c r="N30" s="254" t="e">
        <f t="shared" si="3"/>
        <v>#DIV/0!</v>
      </c>
    </row>
    <row r="31" spans="1:14" x14ac:dyDescent="0.25">
      <c r="A31" s="32">
        <f t="shared" si="5"/>
        <v>22</v>
      </c>
      <c r="B31" s="33" t="s">
        <v>37</v>
      </c>
      <c r="C31" s="34">
        <v>9</v>
      </c>
      <c r="D31" s="35">
        <v>3</v>
      </c>
      <c r="E31" s="36">
        <f t="shared" si="4"/>
        <v>12</v>
      </c>
      <c r="F31" s="34">
        <v>9</v>
      </c>
      <c r="G31" s="35">
        <v>65</v>
      </c>
      <c r="H31" s="39">
        <v>3145461.2716763006</v>
      </c>
      <c r="J31" s="74"/>
      <c r="K31" s="68"/>
      <c r="M31" s="253" t="e">
        <f t="shared" si="2"/>
        <v>#DIV/0!</v>
      </c>
      <c r="N31" s="254" t="e">
        <f t="shared" si="3"/>
        <v>#DIV/0!</v>
      </c>
    </row>
    <row r="32" spans="1:14" x14ac:dyDescent="0.25">
      <c r="A32" s="32">
        <f t="shared" si="5"/>
        <v>23</v>
      </c>
      <c r="B32" s="33" t="s">
        <v>38</v>
      </c>
      <c r="C32" s="34">
        <v>10</v>
      </c>
      <c r="D32" s="35">
        <v>3</v>
      </c>
      <c r="E32" s="36">
        <f t="shared" si="4"/>
        <v>13</v>
      </c>
      <c r="F32" s="34">
        <v>9</v>
      </c>
      <c r="G32" s="35">
        <v>67</v>
      </c>
      <c r="H32" s="39">
        <v>3299758.9595375727</v>
      </c>
      <c r="I32" s="48"/>
      <c r="J32" s="40"/>
      <c r="K32" s="41"/>
      <c r="L32" s="48"/>
      <c r="M32" s="253" t="e">
        <f t="shared" si="2"/>
        <v>#DIV/0!</v>
      </c>
      <c r="N32" s="254" t="e">
        <f t="shared" si="3"/>
        <v>#DIV/0!</v>
      </c>
    </row>
    <row r="33" spans="1:18" x14ac:dyDescent="0.25">
      <c r="A33" s="32">
        <f t="shared" si="5"/>
        <v>24</v>
      </c>
      <c r="B33" s="33" t="s">
        <v>39</v>
      </c>
      <c r="C33" s="34">
        <v>9</v>
      </c>
      <c r="D33" s="35">
        <v>0</v>
      </c>
      <c r="E33" s="36">
        <f t="shared" si="4"/>
        <v>9</v>
      </c>
      <c r="F33" s="34">
        <v>1</v>
      </c>
      <c r="G33" s="35">
        <v>4</v>
      </c>
      <c r="H33" s="39">
        <v>189466.04046242774</v>
      </c>
      <c r="I33" s="48"/>
      <c r="J33" s="40"/>
      <c r="K33" s="41"/>
      <c r="L33" s="48"/>
      <c r="M33" s="253" t="e">
        <f t="shared" si="2"/>
        <v>#DIV/0!</v>
      </c>
      <c r="N33" s="254" t="e">
        <f t="shared" si="3"/>
        <v>#DIV/0!</v>
      </c>
    </row>
    <row r="34" spans="1:18" x14ac:dyDescent="0.25">
      <c r="A34" s="32">
        <f t="shared" si="5"/>
        <v>25</v>
      </c>
      <c r="B34" s="33" t="s">
        <v>40</v>
      </c>
      <c r="C34" s="34">
        <v>1</v>
      </c>
      <c r="D34" s="35">
        <v>1</v>
      </c>
      <c r="E34" s="36">
        <f t="shared" si="4"/>
        <v>2</v>
      </c>
      <c r="F34" s="34">
        <v>2</v>
      </c>
      <c r="G34" s="35">
        <v>11</v>
      </c>
      <c r="H34" s="39">
        <v>545617.05202312139</v>
      </c>
      <c r="I34" s="48"/>
      <c r="J34" s="40"/>
      <c r="K34" s="41"/>
      <c r="L34" s="48"/>
      <c r="M34" s="253" t="e">
        <f t="shared" si="2"/>
        <v>#DIV/0!</v>
      </c>
      <c r="N34" s="254" t="e">
        <f t="shared" si="3"/>
        <v>#DIV/0!</v>
      </c>
    </row>
    <row r="35" spans="1:18" x14ac:dyDescent="0.25">
      <c r="A35" s="32">
        <f t="shared" si="5"/>
        <v>26</v>
      </c>
      <c r="B35" s="33" t="s">
        <v>41</v>
      </c>
      <c r="C35" s="34">
        <v>5</v>
      </c>
      <c r="D35" s="35">
        <v>0</v>
      </c>
      <c r="E35" s="36">
        <f t="shared" si="4"/>
        <v>5</v>
      </c>
      <c r="F35" s="34">
        <v>2</v>
      </c>
      <c r="G35" s="35">
        <v>12</v>
      </c>
      <c r="H35" s="39">
        <v>586364.40462427749</v>
      </c>
      <c r="I35" s="48"/>
      <c r="J35" s="58"/>
      <c r="K35" s="59"/>
      <c r="L35" s="48"/>
      <c r="M35" s="253" t="e">
        <f t="shared" si="2"/>
        <v>#DIV/0!</v>
      </c>
      <c r="N35" s="254" t="e">
        <f t="shared" si="3"/>
        <v>#DIV/0!</v>
      </c>
    </row>
    <row r="36" spans="1:18" x14ac:dyDescent="0.25">
      <c r="A36" s="32">
        <f t="shared" si="5"/>
        <v>27</v>
      </c>
      <c r="B36" s="33" t="s">
        <v>42</v>
      </c>
      <c r="C36" s="34">
        <v>6</v>
      </c>
      <c r="D36" s="35">
        <v>0</v>
      </c>
      <c r="E36" s="36">
        <f t="shared" si="4"/>
        <v>6</v>
      </c>
      <c r="F36" s="34">
        <v>6</v>
      </c>
      <c r="G36" s="35">
        <v>41</v>
      </c>
      <c r="H36" s="39">
        <v>2090552.2543352603</v>
      </c>
      <c r="J36" s="40"/>
      <c r="K36" s="41"/>
      <c r="M36" s="253" t="e">
        <f t="shared" si="2"/>
        <v>#DIV/0!</v>
      </c>
      <c r="N36" s="254" t="e">
        <f t="shared" si="3"/>
        <v>#DIV/0!</v>
      </c>
    </row>
    <row r="37" spans="1:18" x14ac:dyDescent="0.25">
      <c r="A37" s="32">
        <f t="shared" si="5"/>
        <v>28</v>
      </c>
      <c r="B37" s="44" t="s">
        <v>43</v>
      </c>
      <c r="C37" s="45">
        <v>1</v>
      </c>
      <c r="D37" s="46">
        <v>15</v>
      </c>
      <c r="E37" s="36">
        <f t="shared" si="4"/>
        <v>16</v>
      </c>
      <c r="F37" s="34">
        <v>14</v>
      </c>
      <c r="G37" s="35">
        <v>110</v>
      </c>
      <c r="H37" s="39">
        <v>5037157.9306358378</v>
      </c>
      <c r="J37" s="58"/>
      <c r="K37" s="59"/>
      <c r="M37" s="253" t="e">
        <f t="shared" si="2"/>
        <v>#DIV/0!</v>
      </c>
      <c r="N37" s="254" t="e">
        <f t="shared" si="3"/>
        <v>#DIV/0!</v>
      </c>
    </row>
    <row r="38" spans="1:18" x14ac:dyDescent="0.25">
      <c r="A38" s="32">
        <f t="shared" si="5"/>
        <v>29</v>
      </c>
      <c r="B38" s="33" t="s">
        <v>44</v>
      </c>
      <c r="C38" s="34">
        <v>4</v>
      </c>
      <c r="D38" s="35">
        <v>3</v>
      </c>
      <c r="E38" s="36">
        <f t="shared" si="4"/>
        <v>7</v>
      </c>
      <c r="F38" s="34">
        <v>4</v>
      </c>
      <c r="G38" s="35">
        <v>32</v>
      </c>
      <c r="H38" s="39">
        <v>1565848.9942196533</v>
      </c>
      <c r="J38" s="58"/>
      <c r="K38" s="59"/>
      <c r="M38" s="253" t="e">
        <f t="shared" si="2"/>
        <v>#DIV/0!</v>
      </c>
      <c r="N38" s="254" t="e">
        <f t="shared" si="3"/>
        <v>#DIV/0!</v>
      </c>
    </row>
    <row r="39" spans="1:18" x14ac:dyDescent="0.25">
      <c r="A39" s="32">
        <f t="shared" si="5"/>
        <v>30</v>
      </c>
      <c r="B39" s="44" t="s">
        <v>45</v>
      </c>
      <c r="C39" s="34">
        <v>1</v>
      </c>
      <c r="D39" s="35">
        <v>0</v>
      </c>
      <c r="E39" s="36">
        <f t="shared" si="4"/>
        <v>1</v>
      </c>
      <c r="F39" s="34">
        <v>0</v>
      </c>
      <c r="G39" s="35">
        <v>0</v>
      </c>
      <c r="H39" s="39">
        <v>0</v>
      </c>
      <c r="J39" s="58"/>
      <c r="K39" s="59"/>
      <c r="M39" s="253" t="e">
        <f t="shared" si="2"/>
        <v>#DIV/0!</v>
      </c>
      <c r="N39" s="254" t="e">
        <f t="shared" si="3"/>
        <v>#DIV/0!</v>
      </c>
    </row>
    <row r="40" spans="1:18" ht="15.75" thickBot="1" x14ac:dyDescent="0.3">
      <c r="A40" s="75"/>
      <c r="B40" s="76"/>
      <c r="C40" s="45"/>
      <c r="D40" s="46"/>
      <c r="E40" s="77"/>
      <c r="F40" s="78"/>
      <c r="G40" s="79"/>
      <c r="H40" s="77"/>
      <c r="J40" s="81"/>
      <c r="K40" s="82"/>
      <c r="M40" s="83"/>
      <c r="N40" s="84"/>
    </row>
    <row r="41" spans="1:18" ht="15.75" thickBot="1" x14ac:dyDescent="0.3">
      <c r="A41" s="85"/>
      <c r="B41" s="86" t="s">
        <v>46</v>
      </c>
      <c r="C41" s="87">
        <f>SUM(C8:C39)</f>
        <v>168</v>
      </c>
      <c r="D41" s="88">
        <f>SUM(D8:D39)</f>
        <v>95</v>
      </c>
      <c r="E41" s="89">
        <f>SUM(E8:E38)</f>
        <v>262</v>
      </c>
      <c r="F41" s="90">
        <f t="shared" ref="F41:H41" si="6">SUM(F8:F40)</f>
        <v>195</v>
      </c>
      <c r="G41" s="91">
        <f t="shared" si="6"/>
        <v>1409</v>
      </c>
      <c r="H41" s="92">
        <f t="shared" si="6"/>
        <v>66357888.94797688</v>
      </c>
      <c r="J41" s="94">
        <f>SUM(J8:J40)</f>
        <v>981</v>
      </c>
      <c r="K41" s="95">
        <f>SUM(K8:K40)</f>
        <v>49059070.381502897</v>
      </c>
      <c r="M41" s="96">
        <f>G41/J41</f>
        <v>1.4362895005096841</v>
      </c>
      <c r="N41" s="97">
        <f>H41/K41</f>
        <v>1.3526120334517444</v>
      </c>
    </row>
    <row r="42" spans="1:18" x14ac:dyDescent="0.25">
      <c r="A42" s="60"/>
      <c r="B42" s="98"/>
      <c r="C42" s="62"/>
      <c r="D42" s="63"/>
      <c r="E42" s="64"/>
      <c r="F42" s="99"/>
      <c r="G42" s="72"/>
      <c r="H42" s="64"/>
      <c r="J42" s="67"/>
      <c r="K42" s="101"/>
      <c r="M42" s="69"/>
      <c r="N42" s="70"/>
    </row>
    <row r="43" spans="1:18" x14ac:dyDescent="0.25">
      <c r="A43" s="32"/>
      <c r="B43" s="102"/>
      <c r="C43" s="34"/>
      <c r="D43" s="35"/>
      <c r="E43" s="36"/>
      <c r="F43" s="71"/>
      <c r="G43" s="38"/>
      <c r="H43" s="38"/>
      <c r="J43" s="40"/>
      <c r="K43" s="103"/>
      <c r="M43" s="42"/>
      <c r="N43" s="104"/>
    </row>
    <row r="44" spans="1:18" x14ac:dyDescent="0.25">
      <c r="A44" s="32"/>
      <c r="B44" s="105"/>
      <c r="C44" s="34"/>
      <c r="D44" s="35"/>
      <c r="E44" s="36"/>
      <c r="F44" s="37"/>
      <c r="G44" s="72"/>
      <c r="H44" s="64"/>
      <c r="J44" s="67"/>
      <c r="K44" s="101"/>
      <c r="M44" s="42"/>
      <c r="N44" s="104"/>
    </row>
    <row r="45" spans="1:18" x14ac:dyDescent="0.25">
      <c r="A45" s="32">
        <v>1</v>
      </c>
      <c r="B45" s="33" t="s">
        <v>47</v>
      </c>
      <c r="C45" s="34">
        <v>4</v>
      </c>
      <c r="D45" s="35">
        <v>4</v>
      </c>
      <c r="E45" s="36">
        <f t="shared" ref="E45:E50" si="7">C45+D45</f>
        <v>8</v>
      </c>
      <c r="F45" s="34">
        <v>6</v>
      </c>
      <c r="G45" s="35">
        <v>42</v>
      </c>
      <c r="H45" s="39">
        <v>2120117.9190751445</v>
      </c>
      <c r="J45" s="106"/>
      <c r="K45" s="68"/>
      <c r="M45" s="42" t="e">
        <f>G45/J45</f>
        <v>#DIV/0!</v>
      </c>
      <c r="N45" s="254" t="e">
        <f>H45/K45</f>
        <v>#DIV/0!</v>
      </c>
    </row>
    <row r="46" spans="1:18" x14ac:dyDescent="0.25">
      <c r="A46" s="32">
        <v>2</v>
      </c>
      <c r="B46" s="33" t="s">
        <v>48</v>
      </c>
      <c r="C46" s="34">
        <v>8</v>
      </c>
      <c r="D46" s="35">
        <v>1</v>
      </c>
      <c r="E46" s="36">
        <f t="shared" si="7"/>
        <v>9</v>
      </c>
      <c r="F46" s="34">
        <v>13</v>
      </c>
      <c r="G46" s="35">
        <v>103</v>
      </c>
      <c r="H46" s="39">
        <v>5323852.8121387288</v>
      </c>
      <c r="I46" s="48"/>
      <c r="J46" s="106"/>
      <c r="K46" s="107"/>
      <c r="L46" s="48"/>
      <c r="M46" s="42" t="e">
        <f t="shared" ref="M46:M50" si="8">G46/J46</f>
        <v>#DIV/0!</v>
      </c>
      <c r="N46" s="254" t="e">
        <f t="shared" ref="N46:N50" si="9">H46/K46</f>
        <v>#DIV/0!</v>
      </c>
    </row>
    <row r="47" spans="1:18" x14ac:dyDescent="0.25">
      <c r="A47" s="32">
        <v>3</v>
      </c>
      <c r="B47" s="33" t="s">
        <v>49</v>
      </c>
      <c r="C47" s="34">
        <v>13</v>
      </c>
      <c r="D47" s="35">
        <v>3</v>
      </c>
      <c r="E47" s="36">
        <f t="shared" si="7"/>
        <v>16</v>
      </c>
      <c r="F47" s="34">
        <v>37</v>
      </c>
      <c r="G47" s="108">
        <v>305</v>
      </c>
      <c r="H47" s="39">
        <v>14948127.497109827</v>
      </c>
      <c r="J47" s="106">
        <v>792</v>
      </c>
      <c r="K47" s="107">
        <v>40072688.219653182</v>
      </c>
      <c r="M47" s="42">
        <f t="shared" si="8"/>
        <v>0.38510101010101011</v>
      </c>
      <c r="N47" s="254">
        <f t="shared" si="9"/>
        <v>0.37302532376100217</v>
      </c>
    </row>
    <row r="48" spans="1:18" x14ac:dyDescent="0.25">
      <c r="A48" s="32">
        <v>4</v>
      </c>
      <c r="B48" s="33" t="s">
        <v>50</v>
      </c>
      <c r="C48" s="34">
        <v>14</v>
      </c>
      <c r="D48" s="35">
        <v>4</v>
      </c>
      <c r="E48" s="36">
        <f t="shared" si="7"/>
        <v>18</v>
      </c>
      <c r="F48" s="34">
        <v>14</v>
      </c>
      <c r="G48" s="35">
        <v>124.5</v>
      </c>
      <c r="H48" s="39">
        <v>6114159.8468208089</v>
      </c>
      <c r="J48" s="106"/>
      <c r="K48" s="68"/>
      <c r="M48" s="42" t="e">
        <f t="shared" si="8"/>
        <v>#DIV/0!</v>
      </c>
      <c r="N48" s="254" t="e">
        <f t="shared" si="9"/>
        <v>#DIV/0!</v>
      </c>
      <c r="O48" s="110"/>
      <c r="P48" s="111"/>
      <c r="Q48" s="110"/>
      <c r="R48" s="111"/>
    </row>
    <row r="49" spans="1:18" x14ac:dyDescent="0.25">
      <c r="A49" s="32">
        <v>5</v>
      </c>
      <c r="B49" s="33" t="s">
        <v>51</v>
      </c>
      <c r="C49" s="34">
        <v>24</v>
      </c>
      <c r="D49" s="35">
        <v>6</v>
      </c>
      <c r="E49" s="36">
        <f t="shared" si="7"/>
        <v>30</v>
      </c>
      <c r="F49" s="34">
        <v>13</v>
      </c>
      <c r="G49" s="35">
        <v>85</v>
      </c>
      <c r="H49" s="39">
        <v>4121567.63583815</v>
      </c>
      <c r="J49" s="112"/>
      <c r="K49" s="113"/>
      <c r="M49" s="42" t="e">
        <f t="shared" si="8"/>
        <v>#DIV/0!</v>
      </c>
      <c r="N49" s="254" t="e">
        <f t="shared" si="9"/>
        <v>#DIV/0!</v>
      </c>
      <c r="O49" s="110"/>
      <c r="P49" s="111"/>
      <c r="Q49" s="110"/>
      <c r="R49" s="111"/>
    </row>
    <row r="50" spans="1:18" x14ac:dyDescent="0.25">
      <c r="A50" s="32">
        <v>6</v>
      </c>
      <c r="B50" s="33" t="s">
        <v>52</v>
      </c>
      <c r="C50" s="34">
        <v>17</v>
      </c>
      <c r="D50" s="35">
        <v>2</v>
      </c>
      <c r="E50" s="36">
        <f t="shared" si="7"/>
        <v>19</v>
      </c>
      <c r="F50" s="34">
        <v>5</v>
      </c>
      <c r="G50" s="35">
        <v>30</v>
      </c>
      <c r="H50" s="39">
        <v>1471095.7225433527</v>
      </c>
      <c r="J50" s="112"/>
      <c r="K50" s="113"/>
      <c r="M50" s="42" t="e">
        <f t="shared" si="8"/>
        <v>#DIV/0!</v>
      </c>
      <c r="N50" s="254" t="e">
        <f t="shared" si="9"/>
        <v>#DIV/0!</v>
      </c>
    </row>
    <row r="51" spans="1:18" ht="15.75" thickBot="1" x14ac:dyDescent="0.3">
      <c r="A51" s="75"/>
      <c r="B51" s="76"/>
      <c r="C51" s="45"/>
      <c r="D51" s="46"/>
      <c r="E51" s="77"/>
      <c r="F51" s="78"/>
      <c r="G51" s="79"/>
      <c r="H51" s="77"/>
      <c r="J51" s="115"/>
      <c r="K51" s="116"/>
      <c r="M51" s="83"/>
      <c r="N51" s="117"/>
    </row>
    <row r="52" spans="1:18" ht="15.75" thickBot="1" x14ac:dyDescent="0.3">
      <c r="A52" s="118"/>
      <c r="B52" s="119" t="s">
        <v>53</v>
      </c>
      <c r="C52" s="120">
        <f t="shared" ref="C52:H52" si="10">SUM(C45:C50)</f>
        <v>80</v>
      </c>
      <c r="D52" s="121">
        <f t="shared" si="10"/>
        <v>20</v>
      </c>
      <c r="E52" s="122">
        <f t="shared" si="10"/>
        <v>100</v>
      </c>
      <c r="F52" s="123">
        <f t="shared" si="10"/>
        <v>88</v>
      </c>
      <c r="G52" s="124">
        <f t="shared" si="10"/>
        <v>689.5</v>
      </c>
      <c r="H52" s="125">
        <f t="shared" si="10"/>
        <v>34098921.433526009</v>
      </c>
      <c r="J52" s="127">
        <f>SUM(J45:J51)</f>
        <v>792</v>
      </c>
      <c r="K52" s="127">
        <f>SUM(K45:K51)</f>
        <v>40072688.219653182</v>
      </c>
      <c r="M52" s="128">
        <f>G52/J52</f>
        <v>0.87058080808080807</v>
      </c>
      <c r="N52" s="129">
        <f>H52/K52</f>
        <v>0.85092672711691431</v>
      </c>
      <c r="O52" s="130"/>
      <c r="P52" s="130"/>
      <c r="Q52" s="130"/>
      <c r="R52" s="130"/>
    </row>
    <row r="53" spans="1:18" x14ac:dyDescent="0.25">
      <c r="A53" s="60"/>
      <c r="B53" s="98"/>
      <c r="C53" s="62"/>
      <c r="D53" s="63"/>
      <c r="E53" s="131"/>
      <c r="F53" s="99"/>
      <c r="G53" s="72"/>
      <c r="H53" s="64"/>
      <c r="J53" s="40"/>
      <c r="K53" s="103"/>
      <c r="M53" s="69"/>
      <c r="N53" s="70"/>
    </row>
    <row r="54" spans="1:18" x14ac:dyDescent="0.25">
      <c r="A54" s="32"/>
      <c r="B54" s="102"/>
      <c r="C54" s="34"/>
      <c r="D54" s="35"/>
      <c r="E54" s="64"/>
      <c r="F54" s="133"/>
      <c r="G54" s="72"/>
      <c r="H54" s="72"/>
      <c r="J54" s="40"/>
      <c r="K54" s="103"/>
      <c r="M54" s="42"/>
      <c r="N54" s="104"/>
    </row>
    <row r="55" spans="1:18" x14ac:dyDescent="0.25">
      <c r="A55" s="32"/>
      <c r="B55" s="105"/>
      <c r="C55" s="34"/>
      <c r="D55" s="35"/>
      <c r="E55" s="36"/>
      <c r="F55" s="71"/>
      <c r="G55" s="72"/>
      <c r="H55" s="64"/>
      <c r="J55" s="40"/>
      <c r="K55" s="103"/>
      <c r="M55" s="42"/>
      <c r="N55" s="104"/>
    </row>
    <row r="56" spans="1:18" x14ac:dyDescent="0.25">
      <c r="A56" s="32">
        <v>1</v>
      </c>
      <c r="B56" s="33" t="s">
        <v>54</v>
      </c>
      <c r="C56" s="34">
        <v>2</v>
      </c>
      <c r="D56" s="35">
        <v>3</v>
      </c>
      <c r="E56" s="36">
        <f t="shared" ref="E56:E62" si="11">C56+D56</f>
        <v>5</v>
      </c>
      <c r="F56" s="34">
        <v>6</v>
      </c>
      <c r="G56" s="35">
        <v>52</v>
      </c>
      <c r="H56" s="39">
        <v>2417771.2369942195</v>
      </c>
      <c r="I56" s="48"/>
      <c r="J56" s="135">
        <v>275</v>
      </c>
      <c r="K56" s="136">
        <v>11447071.109826589</v>
      </c>
      <c r="L56" s="48"/>
      <c r="M56" s="42">
        <f>G56/J56</f>
        <v>0.18909090909090909</v>
      </c>
      <c r="N56" s="43">
        <f>H56/K56</f>
        <v>0.2112130879416583</v>
      </c>
    </row>
    <row r="57" spans="1:18" x14ac:dyDescent="0.25">
      <c r="A57" s="32">
        <f>A56+1</f>
        <v>2</v>
      </c>
      <c r="B57" s="44" t="s">
        <v>55</v>
      </c>
      <c r="C57" s="45">
        <v>0</v>
      </c>
      <c r="D57" s="46">
        <v>0</v>
      </c>
      <c r="E57" s="36">
        <f t="shared" si="11"/>
        <v>0</v>
      </c>
      <c r="F57" s="34">
        <v>0</v>
      </c>
      <c r="G57" s="35">
        <v>0</v>
      </c>
      <c r="H57" s="39">
        <v>0</v>
      </c>
      <c r="I57" s="48"/>
      <c r="J57" s="40"/>
      <c r="K57" s="103"/>
      <c r="L57" s="48"/>
      <c r="M57" s="42" t="e">
        <f t="shared" ref="M57:M62" si="12">G57/J57</f>
        <v>#DIV/0!</v>
      </c>
      <c r="N57" s="43" t="e">
        <f t="shared" ref="N57:N62" si="13">H57/K57</f>
        <v>#DIV/0!</v>
      </c>
    </row>
    <row r="58" spans="1:18" x14ac:dyDescent="0.25">
      <c r="A58" s="32">
        <f>A57+1</f>
        <v>3</v>
      </c>
      <c r="B58" s="33" t="s">
        <v>56</v>
      </c>
      <c r="C58" s="34">
        <v>7</v>
      </c>
      <c r="D58" s="35">
        <v>0</v>
      </c>
      <c r="E58" s="36">
        <f t="shared" si="11"/>
        <v>7</v>
      </c>
      <c r="F58" s="34">
        <v>4</v>
      </c>
      <c r="G58" s="35">
        <v>25</v>
      </c>
      <c r="H58" s="39">
        <v>1287523.2716763006</v>
      </c>
      <c r="I58" s="48"/>
      <c r="J58" s="40"/>
      <c r="K58" s="103"/>
      <c r="L58" s="48"/>
      <c r="M58" s="42" t="e">
        <f t="shared" si="12"/>
        <v>#DIV/0!</v>
      </c>
      <c r="N58" s="43" t="e">
        <f t="shared" si="13"/>
        <v>#DIV/0!</v>
      </c>
    </row>
    <row r="59" spans="1:18" x14ac:dyDescent="0.25">
      <c r="A59" s="32">
        <f>A58+1</f>
        <v>4</v>
      </c>
      <c r="B59" s="33" t="s">
        <v>57</v>
      </c>
      <c r="C59" s="34">
        <v>9</v>
      </c>
      <c r="D59" s="35">
        <v>6</v>
      </c>
      <c r="E59" s="36">
        <f t="shared" si="11"/>
        <v>15</v>
      </c>
      <c r="F59" s="34">
        <v>52</v>
      </c>
      <c r="G59" s="35">
        <v>332</v>
      </c>
      <c r="H59" s="39">
        <v>15689144.01734104</v>
      </c>
      <c r="J59" s="40">
        <v>748</v>
      </c>
      <c r="K59" s="103">
        <v>31322719.739884391</v>
      </c>
      <c r="M59" s="42">
        <f t="shared" si="12"/>
        <v>0.44385026737967914</v>
      </c>
      <c r="N59" s="43">
        <f t="shared" si="13"/>
        <v>0.50088702857317546</v>
      </c>
    </row>
    <row r="60" spans="1:18" x14ac:dyDescent="0.25">
      <c r="A60" s="32">
        <f>A59+1</f>
        <v>5</v>
      </c>
      <c r="B60" s="33" t="s">
        <v>58</v>
      </c>
      <c r="C60" s="34">
        <v>2</v>
      </c>
      <c r="D60" s="35">
        <v>0</v>
      </c>
      <c r="E60" s="36">
        <f t="shared" si="11"/>
        <v>2</v>
      </c>
      <c r="F60" s="34">
        <v>0</v>
      </c>
      <c r="G60" s="35">
        <v>0</v>
      </c>
      <c r="H60" s="39">
        <v>0</v>
      </c>
      <c r="I60" s="48"/>
      <c r="J60" s="40"/>
      <c r="K60" s="41"/>
      <c r="L60" s="48"/>
      <c r="M60" s="42" t="e">
        <f t="shared" si="12"/>
        <v>#DIV/0!</v>
      </c>
      <c r="N60" s="43" t="e">
        <f t="shared" si="13"/>
        <v>#DIV/0!</v>
      </c>
    </row>
    <row r="61" spans="1:18" x14ac:dyDescent="0.25">
      <c r="A61" s="75">
        <f>A60+1</f>
        <v>6</v>
      </c>
      <c r="B61" s="44" t="s">
        <v>59</v>
      </c>
      <c r="C61" s="45">
        <v>2</v>
      </c>
      <c r="D61" s="46">
        <v>0</v>
      </c>
      <c r="E61" s="36">
        <f t="shared" si="11"/>
        <v>2</v>
      </c>
      <c r="F61" s="34">
        <v>0</v>
      </c>
      <c r="G61" s="35">
        <v>0</v>
      </c>
      <c r="H61" s="39">
        <v>0</v>
      </c>
      <c r="I61" s="48"/>
      <c r="J61" s="137">
        <v>12</v>
      </c>
      <c r="K61" s="55">
        <v>485318.73410404625</v>
      </c>
      <c r="L61" s="48"/>
      <c r="M61" s="42">
        <f t="shared" si="12"/>
        <v>0</v>
      </c>
      <c r="N61" s="43">
        <f t="shared" si="13"/>
        <v>0</v>
      </c>
    </row>
    <row r="62" spans="1:18" x14ac:dyDescent="0.25">
      <c r="A62" s="32">
        <v>7</v>
      </c>
      <c r="B62" s="33" t="s">
        <v>60</v>
      </c>
      <c r="C62" s="34">
        <v>3</v>
      </c>
      <c r="D62" s="35">
        <v>1</v>
      </c>
      <c r="E62" s="36">
        <f t="shared" si="11"/>
        <v>4</v>
      </c>
      <c r="F62" s="34">
        <v>0</v>
      </c>
      <c r="G62" s="35">
        <v>0</v>
      </c>
      <c r="H62" s="39">
        <v>0</v>
      </c>
      <c r="J62" s="138"/>
      <c r="K62" s="139"/>
      <c r="M62" s="42" t="e">
        <f t="shared" si="12"/>
        <v>#DIV/0!</v>
      </c>
      <c r="N62" s="43" t="e">
        <f t="shared" si="13"/>
        <v>#DIV/0!</v>
      </c>
    </row>
    <row r="63" spans="1:18" ht="15.75" thickBot="1" x14ac:dyDescent="0.3">
      <c r="A63" s="32"/>
      <c r="B63" s="33"/>
      <c r="C63" s="34"/>
      <c r="D63" s="35"/>
      <c r="E63" s="36"/>
      <c r="F63" s="37"/>
      <c r="G63" s="79"/>
      <c r="H63" s="77"/>
      <c r="J63" s="138"/>
      <c r="K63" s="139"/>
      <c r="M63" s="42"/>
      <c r="N63" s="43"/>
    </row>
    <row r="64" spans="1:18" ht="15.75" thickBot="1" x14ac:dyDescent="0.3">
      <c r="A64" s="140"/>
      <c r="B64" s="141" t="s">
        <v>61</v>
      </c>
      <c r="C64" s="142">
        <f>SUM(C56:C62)</f>
        <v>25</v>
      </c>
      <c r="D64" s="143">
        <f>SUM(D56:D62)</f>
        <v>10</v>
      </c>
      <c r="E64" s="143">
        <f>SUM(E56:E62)</f>
        <v>35</v>
      </c>
      <c r="F64" s="144">
        <f t="shared" ref="F64:K64" si="14">SUM(F56:F62)</f>
        <v>62</v>
      </c>
      <c r="G64" s="145">
        <f t="shared" si="14"/>
        <v>409</v>
      </c>
      <c r="H64" s="146">
        <f t="shared" si="14"/>
        <v>19394438.52601156</v>
      </c>
      <c r="I64" s="148">
        <f t="shared" si="14"/>
        <v>0</v>
      </c>
      <c r="J64" s="147">
        <f t="shared" si="14"/>
        <v>1035</v>
      </c>
      <c r="K64" s="147">
        <f t="shared" si="14"/>
        <v>43255109.583815023</v>
      </c>
      <c r="M64" s="149">
        <f>G64/J64</f>
        <v>0.39516908212560387</v>
      </c>
      <c r="N64" s="150">
        <f>H64/K64</f>
        <v>0.44837335317417559</v>
      </c>
    </row>
    <row r="65" spans="1:14" x14ac:dyDescent="0.25">
      <c r="A65" s="60"/>
      <c r="B65" s="98"/>
      <c r="C65" s="62"/>
      <c r="D65" s="63"/>
      <c r="E65" s="64"/>
      <c r="F65" s="99"/>
      <c r="G65" s="72"/>
      <c r="H65" s="64"/>
      <c r="J65" s="40"/>
      <c r="K65" s="103"/>
      <c r="M65" s="69"/>
      <c r="N65" s="70"/>
    </row>
    <row r="66" spans="1:14" x14ac:dyDescent="0.25">
      <c r="A66" s="32"/>
      <c r="B66" s="102"/>
      <c r="C66" s="34"/>
      <c r="D66" s="35"/>
      <c r="E66" s="36"/>
      <c r="F66" s="151"/>
      <c r="G66" s="72"/>
      <c r="H66" s="72"/>
      <c r="J66" s="40"/>
      <c r="K66" s="103"/>
      <c r="M66" s="42"/>
      <c r="N66" s="104"/>
    </row>
    <row r="67" spans="1:14" x14ac:dyDescent="0.25">
      <c r="A67" s="32"/>
      <c r="B67" s="105"/>
      <c r="C67" s="34"/>
      <c r="D67" s="35"/>
      <c r="E67" s="36"/>
      <c r="F67" s="37"/>
      <c r="G67" s="72"/>
      <c r="H67" s="39"/>
      <c r="J67" s="40"/>
      <c r="K67" s="103"/>
      <c r="M67" s="42"/>
      <c r="N67" s="104"/>
    </row>
    <row r="68" spans="1:14" x14ac:dyDescent="0.25">
      <c r="A68" s="32">
        <v>1</v>
      </c>
      <c r="B68" s="33" t="s">
        <v>62</v>
      </c>
      <c r="C68" s="34">
        <v>6</v>
      </c>
      <c r="D68" s="35">
        <v>0</v>
      </c>
      <c r="E68" s="36">
        <f t="shared" ref="E68:E73" si="15">C68+D68</f>
        <v>6</v>
      </c>
      <c r="F68" s="34">
        <v>1</v>
      </c>
      <c r="G68" s="35">
        <v>3</v>
      </c>
      <c r="H68" s="39">
        <v>150439.30635838152</v>
      </c>
      <c r="J68" s="112">
        <v>16</v>
      </c>
      <c r="K68" s="113">
        <v>633510.72832369944</v>
      </c>
      <c r="M68" s="42">
        <f>G68/J68</f>
        <v>0.1875</v>
      </c>
      <c r="N68" s="43">
        <f>H68/K68</f>
        <v>0.23746923237819717</v>
      </c>
    </row>
    <row r="69" spans="1:14" x14ac:dyDescent="0.25">
      <c r="A69" s="32">
        <f>A68+1</f>
        <v>2</v>
      </c>
      <c r="B69" s="33" t="s">
        <v>63</v>
      </c>
      <c r="C69" s="34">
        <v>3</v>
      </c>
      <c r="D69" s="35">
        <v>0</v>
      </c>
      <c r="E69" s="36">
        <f t="shared" si="15"/>
        <v>3</v>
      </c>
      <c r="F69" s="34">
        <v>0</v>
      </c>
      <c r="G69" s="35">
        <v>0</v>
      </c>
      <c r="H69" s="39">
        <v>0</v>
      </c>
      <c r="J69" s="112"/>
      <c r="K69" s="113"/>
      <c r="M69" s="42" t="e">
        <f t="shared" ref="M69:M82" si="16">G69/J69</f>
        <v>#DIV/0!</v>
      </c>
      <c r="N69" s="43" t="e">
        <f t="shared" ref="N69:N82" si="17">H69/K69</f>
        <v>#DIV/0!</v>
      </c>
    </row>
    <row r="70" spans="1:14" x14ac:dyDescent="0.25">
      <c r="A70" s="32">
        <f>A69+1</f>
        <v>3</v>
      </c>
      <c r="B70" s="33" t="s">
        <v>64</v>
      </c>
      <c r="C70" s="34">
        <v>4</v>
      </c>
      <c r="D70" s="35">
        <v>0</v>
      </c>
      <c r="E70" s="36">
        <f t="shared" si="15"/>
        <v>4</v>
      </c>
      <c r="F70" s="34">
        <v>0</v>
      </c>
      <c r="G70" s="35">
        <v>0</v>
      </c>
      <c r="H70" s="39">
        <v>0</v>
      </c>
      <c r="J70" s="112"/>
      <c r="K70" s="113"/>
      <c r="M70" s="42" t="e">
        <f t="shared" si="16"/>
        <v>#DIV/0!</v>
      </c>
      <c r="N70" s="43" t="e">
        <f t="shared" si="17"/>
        <v>#DIV/0!</v>
      </c>
    </row>
    <row r="71" spans="1:14" x14ac:dyDescent="0.25">
      <c r="A71" s="32">
        <f>A70+1</f>
        <v>4</v>
      </c>
      <c r="B71" s="33" t="s">
        <v>65</v>
      </c>
      <c r="C71" s="34">
        <v>5</v>
      </c>
      <c r="D71" s="35">
        <v>2</v>
      </c>
      <c r="E71" s="36">
        <f t="shared" si="15"/>
        <v>7</v>
      </c>
      <c r="F71" s="34">
        <v>3</v>
      </c>
      <c r="G71" s="35">
        <v>17.5</v>
      </c>
      <c r="H71" s="39">
        <v>804141</v>
      </c>
      <c r="J71" s="112">
        <v>30</v>
      </c>
      <c r="K71" s="113">
        <v>1403417.2716763006</v>
      </c>
      <c r="M71" s="42">
        <f t="shared" si="16"/>
        <v>0.58333333333333337</v>
      </c>
      <c r="N71" s="43">
        <f t="shared" si="17"/>
        <v>0.57298781782805064</v>
      </c>
    </row>
    <row r="72" spans="1:14" x14ac:dyDescent="0.25">
      <c r="A72" s="32">
        <f>A71+1</f>
        <v>5</v>
      </c>
      <c r="B72" s="33" t="s">
        <v>66</v>
      </c>
      <c r="C72" s="34">
        <v>2</v>
      </c>
      <c r="D72" s="35">
        <v>0</v>
      </c>
      <c r="E72" s="36">
        <f t="shared" si="15"/>
        <v>2</v>
      </c>
      <c r="F72" s="34">
        <v>1</v>
      </c>
      <c r="G72" s="35">
        <v>6</v>
      </c>
      <c r="H72" s="39">
        <v>328368</v>
      </c>
      <c r="I72" s="48"/>
      <c r="J72" s="40"/>
      <c r="K72" s="103"/>
      <c r="L72" s="48"/>
      <c r="M72" s="42" t="e">
        <f t="shared" si="16"/>
        <v>#DIV/0!</v>
      </c>
      <c r="N72" s="43" t="e">
        <f t="shared" si="17"/>
        <v>#DIV/0!</v>
      </c>
    </row>
    <row r="73" spans="1:14" x14ac:dyDescent="0.25">
      <c r="A73" s="32">
        <f>A72+1</f>
        <v>6</v>
      </c>
      <c r="B73" s="33" t="s">
        <v>67</v>
      </c>
      <c r="C73" s="34">
        <v>9</v>
      </c>
      <c r="D73" s="35">
        <v>2</v>
      </c>
      <c r="E73" s="36">
        <f t="shared" si="15"/>
        <v>11</v>
      </c>
      <c r="F73" s="34">
        <v>0</v>
      </c>
      <c r="G73" s="35">
        <v>0</v>
      </c>
      <c r="H73" s="39">
        <v>0</v>
      </c>
      <c r="J73" s="135">
        <v>330</v>
      </c>
      <c r="K73" s="136">
        <v>13341525.699421965</v>
      </c>
      <c r="M73" s="42">
        <f t="shared" si="16"/>
        <v>0</v>
      </c>
      <c r="N73" s="43">
        <f t="shared" si="17"/>
        <v>0</v>
      </c>
    </row>
    <row r="74" spans="1:14" s="48" customFormat="1" x14ac:dyDescent="0.25">
      <c r="A74" s="51"/>
      <c r="B74" s="57" t="s">
        <v>68</v>
      </c>
      <c r="C74" s="53"/>
      <c r="D74" s="54"/>
      <c r="E74" s="55"/>
      <c r="F74" s="53">
        <v>0</v>
      </c>
      <c r="G74" s="54">
        <v>0</v>
      </c>
      <c r="H74" s="56">
        <v>0</v>
      </c>
      <c r="J74" s="40"/>
      <c r="K74" s="103"/>
      <c r="M74" s="42" t="e">
        <f t="shared" si="16"/>
        <v>#DIV/0!</v>
      </c>
      <c r="N74" s="43" t="e">
        <f t="shared" si="17"/>
        <v>#DIV/0!</v>
      </c>
    </row>
    <row r="75" spans="1:14" x14ac:dyDescent="0.25">
      <c r="A75" s="32"/>
      <c r="B75" s="57" t="s">
        <v>69</v>
      </c>
      <c r="C75" s="34"/>
      <c r="D75" s="35"/>
      <c r="E75" s="36"/>
      <c r="F75" s="34">
        <v>23</v>
      </c>
      <c r="G75" s="35">
        <v>173</v>
      </c>
      <c r="H75" s="39">
        <v>9092258.4277456664</v>
      </c>
      <c r="J75" s="40"/>
      <c r="K75" s="103"/>
      <c r="M75" s="42" t="e">
        <f t="shared" si="16"/>
        <v>#DIV/0!</v>
      </c>
      <c r="N75" s="43" t="e">
        <f t="shared" si="17"/>
        <v>#DIV/0!</v>
      </c>
    </row>
    <row r="76" spans="1:14" x14ac:dyDescent="0.25">
      <c r="A76" s="32">
        <v>7</v>
      </c>
      <c r="B76" s="33" t="s">
        <v>70</v>
      </c>
      <c r="C76" s="34">
        <v>0</v>
      </c>
      <c r="D76" s="35">
        <v>0</v>
      </c>
      <c r="E76" s="36">
        <f>C76+D76</f>
        <v>0</v>
      </c>
      <c r="F76" s="34">
        <v>0</v>
      </c>
      <c r="G76" s="35">
        <v>0</v>
      </c>
      <c r="H76" s="39">
        <v>0</v>
      </c>
      <c r="J76" s="40"/>
      <c r="K76" s="103"/>
      <c r="M76" s="42" t="e">
        <f t="shared" si="16"/>
        <v>#DIV/0!</v>
      </c>
      <c r="N76" s="43" t="e">
        <f t="shared" si="17"/>
        <v>#DIV/0!</v>
      </c>
    </row>
    <row r="77" spans="1:14" x14ac:dyDescent="0.25">
      <c r="A77" s="32">
        <f>A76+1</f>
        <v>8</v>
      </c>
      <c r="B77" s="33" t="s">
        <v>71</v>
      </c>
      <c r="C77" s="34">
        <v>3</v>
      </c>
      <c r="D77" s="35">
        <v>0</v>
      </c>
      <c r="E77" s="36">
        <f>C77+D77</f>
        <v>3</v>
      </c>
      <c r="F77" s="34">
        <v>0</v>
      </c>
      <c r="G77" s="35">
        <v>0</v>
      </c>
      <c r="H77" s="39">
        <v>0</v>
      </c>
      <c r="J77" s="112"/>
      <c r="K77" s="113"/>
      <c r="M77" s="42" t="e">
        <f t="shared" si="16"/>
        <v>#DIV/0!</v>
      </c>
      <c r="N77" s="43" t="e">
        <f t="shared" si="17"/>
        <v>#DIV/0!</v>
      </c>
    </row>
    <row r="78" spans="1:14" x14ac:dyDescent="0.25">
      <c r="A78" s="32">
        <f>A77+1</f>
        <v>9</v>
      </c>
      <c r="B78" s="33" t="s">
        <v>72</v>
      </c>
      <c r="C78" s="34">
        <v>4</v>
      </c>
      <c r="D78" s="35">
        <v>1</v>
      </c>
      <c r="E78" s="36">
        <f>C78+D78</f>
        <v>5</v>
      </c>
      <c r="F78" s="34">
        <v>1</v>
      </c>
      <c r="G78" s="35">
        <v>4</v>
      </c>
      <c r="H78" s="39">
        <v>192875.7225433526</v>
      </c>
      <c r="J78" s="112">
        <v>35</v>
      </c>
      <c r="K78" s="113">
        <v>1745620.1849710983</v>
      </c>
      <c r="M78" s="42">
        <f t="shared" si="16"/>
        <v>0.11428571428571428</v>
      </c>
      <c r="N78" s="43">
        <f t="shared" si="17"/>
        <v>0.11049123068346393</v>
      </c>
    </row>
    <row r="79" spans="1:14" s="48" customFormat="1" x14ac:dyDescent="0.25">
      <c r="A79" s="51">
        <f>A78+1</f>
        <v>10</v>
      </c>
      <c r="B79" s="154" t="s">
        <v>73</v>
      </c>
      <c r="C79" s="53">
        <v>5</v>
      </c>
      <c r="D79" s="54">
        <v>1</v>
      </c>
      <c r="E79" s="55">
        <f>C79+D79</f>
        <v>6</v>
      </c>
      <c r="F79" s="53">
        <v>0</v>
      </c>
      <c r="G79" s="54">
        <v>0</v>
      </c>
      <c r="H79" s="56">
        <v>0</v>
      </c>
      <c r="J79" s="112">
        <v>528</v>
      </c>
      <c r="K79" s="113">
        <v>20198726.289017342</v>
      </c>
      <c r="M79" s="42">
        <f t="shared" si="16"/>
        <v>0</v>
      </c>
      <c r="N79" s="43">
        <f t="shared" si="17"/>
        <v>0</v>
      </c>
    </row>
    <row r="80" spans="1:14" s="48" customFormat="1" x14ac:dyDescent="0.25">
      <c r="A80" s="51"/>
      <c r="B80" s="154" t="s">
        <v>74</v>
      </c>
      <c r="C80" s="53"/>
      <c r="D80" s="54"/>
      <c r="E80" s="55"/>
      <c r="F80" s="53">
        <v>26</v>
      </c>
      <c r="G80" s="54">
        <v>367.5</v>
      </c>
      <c r="H80" s="56">
        <v>18198512.450867053</v>
      </c>
      <c r="J80" s="112"/>
      <c r="K80" s="113"/>
      <c r="M80" s="42" t="e">
        <f t="shared" si="16"/>
        <v>#DIV/0!</v>
      </c>
      <c r="N80" s="43" t="e">
        <f t="shared" si="17"/>
        <v>#DIV/0!</v>
      </c>
    </row>
    <row r="81" spans="1:14" s="48" customFormat="1" x14ac:dyDescent="0.25">
      <c r="A81" s="51"/>
      <c r="B81" s="156" t="s">
        <v>75</v>
      </c>
      <c r="C81" s="157"/>
      <c r="D81" s="158"/>
      <c r="E81" s="55"/>
      <c r="F81" s="53">
        <v>1</v>
      </c>
      <c r="G81" s="54">
        <v>12</v>
      </c>
      <c r="H81" s="56">
        <v>706711.56069364166</v>
      </c>
      <c r="J81" s="112"/>
      <c r="K81" s="113"/>
      <c r="M81" s="42" t="e">
        <f t="shared" si="16"/>
        <v>#DIV/0!</v>
      </c>
      <c r="N81" s="43" t="e">
        <f t="shared" si="17"/>
        <v>#DIV/0!</v>
      </c>
    </row>
    <row r="82" spans="1:14" x14ac:dyDescent="0.25">
      <c r="A82" s="32">
        <f>A79+1</f>
        <v>11</v>
      </c>
      <c r="B82" s="33" t="s">
        <v>76</v>
      </c>
      <c r="C82" s="53">
        <v>0</v>
      </c>
      <c r="D82" s="54">
        <v>0</v>
      </c>
      <c r="E82" s="36">
        <f>C82+D82</f>
        <v>0</v>
      </c>
      <c r="F82" s="34">
        <v>0</v>
      </c>
      <c r="G82" s="35">
        <v>0</v>
      </c>
      <c r="H82" s="39">
        <v>0</v>
      </c>
      <c r="J82" s="112"/>
      <c r="K82" s="113"/>
      <c r="M82" s="42" t="e">
        <f t="shared" si="16"/>
        <v>#DIV/0!</v>
      </c>
      <c r="N82" s="43" t="e">
        <f t="shared" si="17"/>
        <v>#DIV/0!</v>
      </c>
    </row>
    <row r="83" spans="1:14" ht="15.75" thickBot="1" x14ac:dyDescent="0.3">
      <c r="A83" s="159"/>
      <c r="B83" s="76"/>
      <c r="C83" s="45"/>
      <c r="D83" s="46"/>
      <c r="E83" s="77"/>
      <c r="F83" s="78"/>
      <c r="G83" s="46"/>
      <c r="H83" s="77"/>
      <c r="J83" s="137"/>
      <c r="K83" s="116"/>
      <c r="M83" s="83"/>
      <c r="N83" s="117"/>
    </row>
    <row r="84" spans="1:14" ht="15.75" thickBot="1" x14ac:dyDescent="0.3">
      <c r="A84" s="160"/>
      <c r="B84" s="161" t="s">
        <v>77</v>
      </c>
      <c r="C84" s="162">
        <f t="shared" ref="C84:H84" si="18">SUM(C67:C82)</f>
        <v>41</v>
      </c>
      <c r="D84" s="163">
        <f t="shared" si="18"/>
        <v>6</v>
      </c>
      <c r="E84" s="164">
        <f t="shared" si="18"/>
        <v>47</v>
      </c>
      <c r="F84" s="165">
        <f t="shared" si="18"/>
        <v>56</v>
      </c>
      <c r="G84" s="166">
        <f t="shared" si="18"/>
        <v>583</v>
      </c>
      <c r="H84" s="167">
        <f t="shared" si="18"/>
        <v>29473306.468208093</v>
      </c>
      <c r="J84" s="169">
        <f>SUM(J67:J83)</f>
        <v>939</v>
      </c>
      <c r="K84" s="170">
        <f>SUM(K67:K83)</f>
        <v>37322800.173410401</v>
      </c>
      <c r="M84" s="171">
        <f>G84/J84</f>
        <v>0.62087326943556975</v>
      </c>
      <c r="N84" s="172">
        <f>H84/K84</f>
        <v>0.78968636681246485</v>
      </c>
    </row>
    <row r="85" spans="1:14" x14ac:dyDescent="0.25">
      <c r="A85" s="173"/>
      <c r="B85" s="98"/>
      <c r="C85" s="62"/>
      <c r="D85" s="63"/>
      <c r="E85" s="100"/>
      <c r="F85" s="99"/>
      <c r="G85" s="72"/>
      <c r="H85" s="64"/>
      <c r="J85" s="175"/>
      <c r="K85" s="176"/>
      <c r="M85" s="177"/>
      <c r="N85" s="178"/>
    </row>
    <row r="86" spans="1:14" x14ac:dyDescent="0.25">
      <c r="A86" s="179"/>
      <c r="B86" s="102"/>
      <c r="C86" s="180"/>
      <c r="D86" s="181"/>
      <c r="E86" s="182"/>
      <c r="F86" s="151"/>
      <c r="G86" s="72"/>
      <c r="H86" s="72"/>
      <c r="J86" s="99"/>
      <c r="K86" s="174"/>
      <c r="M86" s="177"/>
      <c r="N86" s="178"/>
    </row>
    <row r="87" spans="1:14" x14ac:dyDescent="0.25">
      <c r="A87" s="179"/>
      <c r="B87" s="185"/>
      <c r="C87" s="34"/>
      <c r="D87" s="35"/>
      <c r="E87" s="39"/>
      <c r="F87" s="133"/>
      <c r="G87" s="38"/>
      <c r="H87" s="38"/>
      <c r="J87" s="186"/>
      <c r="K87" s="152"/>
      <c r="M87" s="42"/>
      <c r="N87" s="43"/>
    </row>
    <row r="88" spans="1:14" ht="15.75" thickBot="1" x14ac:dyDescent="0.3">
      <c r="A88" s="187"/>
      <c r="B88" s="188"/>
      <c r="C88" s="189"/>
      <c r="D88" s="190"/>
      <c r="E88" s="191"/>
      <c r="F88" s="192"/>
      <c r="G88" s="190"/>
      <c r="H88" s="191"/>
      <c r="J88" s="194"/>
      <c r="K88" s="195"/>
      <c r="M88" s="196"/>
      <c r="N88" s="197"/>
    </row>
    <row r="89" spans="1:14" ht="15.75" thickBot="1" x14ac:dyDescent="0.3">
      <c r="A89" s="198"/>
      <c r="B89" s="199" t="s">
        <v>78</v>
      </c>
      <c r="C89" s="200">
        <f t="shared" ref="C89:H89" si="19">C84+C64+C52+C41</f>
        <v>314</v>
      </c>
      <c r="D89" s="200">
        <f t="shared" si="19"/>
        <v>131</v>
      </c>
      <c r="E89" s="200">
        <f t="shared" si="19"/>
        <v>444</v>
      </c>
      <c r="F89" s="200">
        <f t="shared" si="19"/>
        <v>401</v>
      </c>
      <c r="G89" s="200">
        <f t="shared" si="19"/>
        <v>3090.5</v>
      </c>
      <c r="H89" s="200">
        <f t="shared" si="19"/>
        <v>149324555.37572256</v>
      </c>
      <c r="J89" s="200">
        <f>J84+J64+J52+J41</f>
        <v>3747</v>
      </c>
      <c r="K89" s="200">
        <f>K84+K64+K52+K41</f>
        <v>169709668.35838151</v>
      </c>
      <c r="M89" s="202">
        <f>G89/J89</f>
        <v>0.82479316786762746</v>
      </c>
      <c r="N89" s="203">
        <f>H89/K89</f>
        <v>0.8798824299178345</v>
      </c>
    </row>
    <row r="90" spans="1:14" x14ac:dyDescent="0.25">
      <c r="G90" s="110"/>
      <c r="H90" s="111"/>
      <c r="J90" s="110"/>
      <c r="K90" s="110"/>
      <c r="M90" s="207"/>
      <c r="N90" s="207"/>
    </row>
    <row r="91" spans="1:14" x14ac:dyDescent="0.25">
      <c r="C91" s="208"/>
      <c r="D91" s="209"/>
      <c r="E91" s="209"/>
      <c r="G91" s="110"/>
      <c r="H91" s="110"/>
      <c r="J91" s="110"/>
      <c r="K91" s="110"/>
      <c r="M91" s="207"/>
      <c r="N91" s="207"/>
    </row>
    <row r="92" spans="1:14" ht="15.75" thickBot="1" x14ac:dyDescent="0.3">
      <c r="B92" s="210"/>
      <c r="C92" s="208"/>
      <c r="D92" s="209"/>
      <c r="E92" s="209"/>
      <c r="M92" s="207"/>
      <c r="N92" s="207"/>
    </row>
    <row r="93" spans="1:14" ht="30.75" thickBot="1" x14ac:dyDescent="0.3">
      <c r="B93" s="210"/>
      <c r="C93" s="212" t="s">
        <v>79</v>
      </c>
      <c r="D93" s="213"/>
      <c r="E93" s="213"/>
      <c r="F93" s="243"/>
      <c r="G93" s="214" t="s">
        <v>80</v>
      </c>
      <c r="H93" s="215" t="s">
        <v>81</v>
      </c>
      <c r="J93" s="330" t="str">
        <f>J5</f>
        <v>BUDGET FEBRUARI</v>
      </c>
      <c r="K93" s="331"/>
      <c r="M93" s="332" t="s">
        <v>5</v>
      </c>
      <c r="N93" s="333"/>
    </row>
    <row r="94" spans="1:14" ht="15.75" thickBot="1" x14ac:dyDescent="0.3">
      <c r="B94" s="209"/>
      <c r="C94" s="216" t="s">
        <v>82</v>
      </c>
      <c r="D94" s="217"/>
      <c r="E94" s="217"/>
      <c r="F94" s="244"/>
      <c r="G94" s="218">
        <f>G41+G52</f>
        <v>2098.5</v>
      </c>
      <c r="H94" s="218">
        <f>H41+H52</f>
        <v>100456810.3815029</v>
      </c>
      <c r="J94" s="219">
        <f>J41+J52</f>
        <v>1773</v>
      </c>
      <c r="K94" s="219">
        <f>K41+K52</f>
        <v>89131758.601156086</v>
      </c>
      <c r="M94" s="220">
        <f>G94/J94</f>
        <v>1.1835871404399323</v>
      </c>
      <c r="N94" s="221">
        <f>H94/K94</f>
        <v>1.1270596693937542</v>
      </c>
    </row>
    <row r="95" spans="1:14" ht="15.75" thickBot="1" x14ac:dyDescent="0.3">
      <c r="B95" s="209"/>
      <c r="C95" s="216" t="s">
        <v>83</v>
      </c>
      <c r="D95" s="217"/>
      <c r="E95" s="217"/>
      <c r="F95" s="244"/>
      <c r="G95" s="222">
        <f>G64</f>
        <v>409</v>
      </c>
      <c r="H95" s="223">
        <f>H64</f>
        <v>19394438.52601156</v>
      </c>
      <c r="J95" s="224">
        <f>J64</f>
        <v>1035</v>
      </c>
      <c r="K95" s="224">
        <f>K64</f>
        <v>43255109.583815023</v>
      </c>
      <c r="M95" s="220">
        <f t="shared" ref="M95:M96" si="20">G95/J95</f>
        <v>0.39516908212560387</v>
      </c>
      <c r="N95" s="221">
        <f t="shared" ref="N95:N96" si="21">H95/K95</f>
        <v>0.44837335317417559</v>
      </c>
    </row>
    <row r="96" spans="1:14" ht="15.75" thickBot="1" x14ac:dyDescent="0.3">
      <c r="B96" s="209"/>
      <c r="C96" s="216" t="s">
        <v>84</v>
      </c>
      <c r="D96" s="217"/>
      <c r="E96" s="217"/>
      <c r="F96" s="244"/>
      <c r="G96" s="227">
        <f>G84</f>
        <v>583</v>
      </c>
      <c r="H96" s="228">
        <f>H84</f>
        <v>29473306.468208093</v>
      </c>
      <c r="J96" s="229">
        <f>J84</f>
        <v>939</v>
      </c>
      <c r="K96" s="230">
        <f>K84</f>
        <v>37322800.173410401</v>
      </c>
      <c r="M96" s="220">
        <f t="shared" si="20"/>
        <v>0.62087326943556975</v>
      </c>
      <c r="N96" s="221">
        <f t="shared" si="21"/>
        <v>0.78968636681246485</v>
      </c>
    </row>
    <row r="97" spans="2:14" ht="15.75" thickBot="1" x14ac:dyDescent="0.3">
      <c r="C97" s="233" t="s">
        <v>78</v>
      </c>
      <c r="D97" s="234"/>
      <c r="E97" s="234"/>
      <c r="F97" s="245"/>
      <c r="G97" s="235">
        <f>SUM(G94:G96)</f>
        <v>3090.5</v>
      </c>
      <c r="H97" s="236">
        <f>SUM(H94:H96)</f>
        <v>149324555.37572256</v>
      </c>
      <c r="J97" s="237">
        <f>SUM(J94:J96)</f>
        <v>3747</v>
      </c>
      <c r="K97" s="238">
        <f>SUM(K94:K96)</f>
        <v>169709668.35838151</v>
      </c>
      <c r="M97" s="256">
        <f>G97/J97</f>
        <v>0.82479316786762746</v>
      </c>
      <c r="N97" s="257">
        <f>H97/K97</f>
        <v>0.8798824299178345</v>
      </c>
    </row>
    <row r="98" spans="2:14" x14ac:dyDescent="0.25">
      <c r="C98" s="208"/>
      <c r="D98" s="209"/>
      <c r="E98" s="209"/>
      <c r="F98" s="209"/>
      <c r="G98" s="209"/>
      <c r="H98" s="209"/>
      <c r="I98" s="241"/>
      <c r="J98" s="241"/>
      <c r="K98" s="241"/>
    </row>
    <row r="99" spans="2:14" x14ac:dyDescent="0.25">
      <c r="J99" s="242"/>
      <c r="K99" s="242"/>
    </row>
    <row r="101" spans="2:14" x14ac:dyDescent="0.25">
      <c r="B101" s="47"/>
    </row>
    <row r="102" spans="2:14" x14ac:dyDescent="0.25">
      <c r="B102" s="47"/>
    </row>
    <row r="103" spans="2:14" x14ac:dyDescent="0.25">
      <c r="B103" s="47"/>
    </row>
    <row r="104" spans="2:14" x14ac:dyDescent="0.25">
      <c r="B104" s="47"/>
    </row>
  </sheetData>
  <mergeCells count="6">
    <mergeCell ref="C5:E5"/>
    <mergeCell ref="M5:N5"/>
    <mergeCell ref="J93:K93"/>
    <mergeCell ref="M93:N93"/>
    <mergeCell ref="F5:H5"/>
    <mergeCell ref="J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4"/>
  <sheetViews>
    <sheetView topLeftCell="A77" workbookViewId="0">
      <selection activeCell="N97" sqref="N97"/>
    </sheetView>
  </sheetViews>
  <sheetFormatPr defaultRowHeight="15" x14ac:dyDescent="0.25"/>
  <cols>
    <col min="1" max="1" width="7.140625" customWidth="1"/>
    <col min="2" max="2" width="39.42578125" customWidth="1"/>
    <col min="3" max="3" width="6.7109375" customWidth="1"/>
    <col min="4" max="4" width="5.7109375" customWidth="1"/>
    <col min="5" max="5" width="5.85546875" customWidth="1"/>
    <col min="6" max="6" width="7.85546875" customWidth="1"/>
    <col min="7" max="7" width="14.28515625" customWidth="1"/>
    <col min="8" max="8" width="14" customWidth="1"/>
    <col min="9" max="9" width="1.5703125" customWidth="1"/>
    <col min="10" max="10" width="10.5703125" customWidth="1"/>
    <col min="11" max="11" width="20.7109375" customWidth="1"/>
    <col min="12" max="12" width="2" customWidth="1"/>
    <col min="13" max="13" width="10.140625" customWidth="1"/>
    <col min="14" max="14" width="13.7109375" customWidth="1"/>
    <col min="15" max="15" width="16.5703125" customWidth="1"/>
    <col min="16" max="16" width="16" customWidth="1"/>
    <col min="17" max="226" width="9.42578125" customWidth="1"/>
    <col min="227" max="227" width="7.140625" customWidth="1"/>
    <col min="228" max="228" width="35.28515625" customWidth="1"/>
    <col min="229" max="229" width="6.7109375" customWidth="1"/>
    <col min="230" max="230" width="5.7109375" customWidth="1"/>
    <col min="231" max="231" width="5.85546875" customWidth="1"/>
    <col min="232" max="232" width="7.85546875" customWidth="1"/>
    <col min="239" max="239" width="7.140625" customWidth="1"/>
    <col min="240" max="240" width="39.42578125" customWidth="1"/>
    <col min="241" max="241" width="6.7109375" customWidth="1"/>
    <col min="242" max="242" width="5.7109375" customWidth="1"/>
    <col min="243" max="243" width="5.85546875" customWidth="1"/>
    <col min="244" max="244" width="7.85546875" customWidth="1"/>
    <col min="245" max="245" width="14.28515625" customWidth="1"/>
    <col min="246" max="246" width="14" customWidth="1"/>
    <col min="247" max="261" width="0" hidden="1" customWidth="1"/>
    <col min="262" max="262" width="11.5703125" customWidth="1"/>
    <col min="263" max="263" width="11.85546875" customWidth="1"/>
    <col min="264" max="264" width="15.7109375" customWidth="1"/>
    <col min="265" max="265" width="1.5703125" customWidth="1"/>
    <col min="266" max="266" width="10.5703125" customWidth="1"/>
    <col min="267" max="267" width="20.7109375" customWidth="1"/>
    <col min="268" max="268" width="2" customWidth="1"/>
    <col min="269" max="269" width="10.140625" customWidth="1"/>
    <col min="270" max="270" width="13.7109375" customWidth="1"/>
    <col min="271" max="271" width="16.5703125" customWidth="1"/>
    <col min="272" max="272" width="16" customWidth="1"/>
    <col min="273" max="482" width="9.42578125" customWidth="1"/>
    <col min="483" max="483" width="7.140625" customWidth="1"/>
    <col min="484" max="484" width="35.28515625" customWidth="1"/>
    <col min="485" max="485" width="6.7109375" customWidth="1"/>
    <col min="486" max="486" width="5.7109375" customWidth="1"/>
    <col min="487" max="487" width="5.85546875" customWidth="1"/>
    <col min="488" max="488" width="7.85546875" customWidth="1"/>
    <col min="495" max="495" width="7.140625" customWidth="1"/>
    <col min="496" max="496" width="39.42578125" customWidth="1"/>
    <col min="497" max="497" width="6.7109375" customWidth="1"/>
    <col min="498" max="498" width="5.7109375" customWidth="1"/>
    <col min="499" max="499" width="5.85546875" customWidth="1"/>
    <col min="500" max="500" width="7.85546875" customWidth="1"/>
    <col min="501" max="501" width="14.28515625" customWidth="1"/>
    <col min="502" max="502" width="14" customWidth="1"/>
    <col min="503" max="517" width="0" hidden="1" customWidth="1"/>
    <col min="518" max="518" width="11.5703125" customWidth="1"/>
    <col min="519" max="519" width="11.85546875" customWidth="1"/>
    <col min="520" max="520" width="15.7109375" customWidth="1"/>
    <col min="521" max="521" width="1.5703125" customWidth="1"/>
    <col min="522" max="522" width="10.5703125" customWidth="1"/>
    <col min="523" max="523" width="20.7109375" customWidth="1"/>
    <col min="524" max="524" width="2" customWidth="1"/>
    <col min="525" max="525" width="10.140625" customWidth="1"/>
    <col min="526" max="526" width="13.7109375" customWidth="1"/>
    <col min="527" max="527" width="16.5703125" customWidth="1"/>
    <col min="528" max="528" width="16" customWidth="1"/>
    <col min="529" max="738" width="9.42578125" customWidth="1"/>
    <col min="739" max="739" width="7.140625" customWidth="1"/>
    <col min="740" max="740" width="35.28515625" customWidth="1"/>
    <col min="741" max="741" width="6.7109375" customWidth="1"/>
    <col min="742" max="742" width="5.7109375" customWidth="1"/>
    <col min="743" max="743" width="5.85546875" customWidth="1"/>
    <col min="744" max="744" width="7.85546875" customWidth="1"/>
    <col min="751" max="751" width="7.140625" customWidth="1"/>
    <col min="752" max="752" width="39.42578125" customWidth="1"/>
    <col min="753" max="753" width="6.7109375" customWidth="1"/>
    <col min="754" max="754" width="5.7109375" customWidth="1"/>
    <col min="755" max="755" width="5.85546875" customWidth="1"/>
    <col min="756" max="756" width="7.85546875" customWidth="1"/>
    <col min="757" max="757" width="14.28515625" customWidth="1"/>
    <col min="758" max="758" width="14" customWidth="1"/>
    <col min="759" max="773" width="0" hidden="1" customWidth="1"/>
    <col min="774" max="774" width="11.5703125" customWidth="1"/>
    <col min="775" max="775" width="11.85546875" customWidth="1"/>
    <col min="776" max="776" width="15.7109375" customWidth="1"/>
    <col min="777" max="777" width="1.5703125" customWidth="1"/>
    <col min="778" max="778" width="10.5703125" customWidth="1"/>
    <col min="779" max="779" width="20.7109375" customWidth="1"/>
    <col min="780" max="780" width="2" customWidth="1"/>
    <col min="781" max="781" width="10.140625" customWidth="1"/>
    <col min="782" max="782" width="13.7109375" customWidth="1"/>
    <col min="783" max="783" width="16.5703125" customWidth="1"/>
    <col min="784" max="784" width="16" customWidth="1"/>
    <col min="785" max="994" width="9.42578125" customWidth="1"/>
    <col min="995" max="995" width="7.140625" customWidth="1"/>
    <col min="996" max="996" width="35.28515625" customWidth="1"/>
    <col min="997" max="997" width="6.7109375" customWidth="1"/>
    <col min="998" max="998" width="5.7109375" customWidth="1"/>
    <col min="999" max="999" width="5.85546875" customWidth="1"/>
    <col min="1000" max="1000" width="7.85546875" customWidth="1"/>
    <col min="1007" max="1007" width="7.140625" customWidth="1"/>
    <col min="1008" max="1008" width="39.42578125" customWidth="1"/>
    <col min="1009" max="1009" width="6.7109375" customWidth="1"/>
    <col min="1010" max="1010" width="5.7109375" customWidth="1"/>
    <col min="1011" max="1011" width="5.85546875" customWidth="1"/>
    <col min="1012" max="1012" width="7.85546875" customWidth="1"/>
    <col min="1013" max="1013" width="14.28515625" customWidth="1"/>
    <col min="1014" max="1014" width="14" customWidth="1"/>
    <col min="1015" max="1029" width="0" hidden="1" customWidth="1"/>
    <col min="1030" max="1030" width="11.5703125" customWidth="1"/>
    <col min="1031" max="1031" width="11.85546875" customWidth="1"/>
    <col min="1032" max="1032" width="15.7109375" customWidth="1"/>
    <col min="1033" max="1033" width="1.5703125" customWidth="1"/>
    <col min="1034" max="1034" width="10.5703125" customWidth="1"/>
    <col min="1035" max="1035" width="20.7109375" customWidth="1"/>
    <col min="1036" max="1036" width="2" customWidth="1"/>
    <col min="1037" max="1037" width="10.140625" customWidth="1"/>
    <col min="1038" max="1038" width="13.7109375" customWidth="1"/>
    <col min="1039" max="1039" width="16.5703125" customWidth="1"/>
    <col min="1040" max="1040" width="16" customWidth="1"/>
    <col min="1041" max="1250" width="9.42578125" customWidth="1"/>
    <col min="1251" max="1251" width="7.140625" customWidth="1"/>
    <col min="1252" max="1252" width="35.28515625" customWidth="1"/>
    <col min="1253" max="1253" width="6.7109375" customWidth="1"/>
    <col min="1254" max="1254" width="5.7109375" customWidth="1"/>
    <col min="1255" max="1255" width="5.85546875" customWidth="1"/>
    <col min="1256" max="1256" width="7.85546875" customWidth="1"/>
    <col min="1263" max="1263" width="7.140625" customWidth="1"/>
    <col min="1264" max="1264" width="39.42578125" customWidth="1"/>
    <col min="1265" max="1265" width="6.7109375" customWidth="1"/>
    <col min="1266" max="1266" width="5.7109375" customWidth="1"/>
    <col min="1267" max="1267" width="5.85546875" customWidth="1"/>
    <col min="1268" max="1268" width="7.85546875" customWidth="1"/>
    <col min="1269" max="1269" width="14.28515625" customWidth="1"/>
    <col min="1270" max="1270" width="14" customWidth="1"/>
    <col min="1271" max="1285" width="0" hidden="1" customWidth="1"/>
    <col min="1286" max="1286" width="11.5703125" customWidth="1"/>
    <col min="1287" max="1287" width="11.85546875" customWidth="1"/>
    <col min="1288" max="1288" width="15.7109375" customWidth="1"/>
    <col min="1289" max="1289" width="1.5703125" customWidth="1"/>
    <col min="1290" max="1290" width="10.5703125" customWidth="1"/>
    <col min="1291" max="1291" width="20.7109375" customWidth="1"/>
    <col min="1292" max="1292" width="2" customWidth="1"/>
    <col min="1293" max="1293" width="10.140625" customWidth="1"/>
    <col min="1294" max="1294" width="13.7109375" customWidth="1"/>
    <col min="1295" max="1295" width="16.5703125" customWidth="1"/>
    <col min="1296" max="1296" width="16" customWidth="1"/>
    <col min="1297" max="1506" width="9.42578125" customWidth="1"/>
    <col min="1507" max="1507" width="7.140625" customWidth="1"/>
    <col min="1508" max="1508" width="35.28515625" customWidth="1"/>
    <col min="1509" max="1509" width="6.7109375" customWidth="1"/>
    <col min="1510" max="1510" width="5.7109375" customWidth="1"/>
    <col min="1511" max="1511" width="5.85546875" customWidth="1"/>
    <col min="1512" max="1512" width="7.85546875" customWidth="1"/>
    <col min="1519" max="1519" width="7.140625" customWidth="1"/>
    <col min="1520" max="1520" width="39.42578125" customWidth="1"/>
    <col min="1521" max="1521" width="6.7109375" customWidth="1"/>
    <col min="1522" max="1522" width="5.7109375" customWidth="1"/>
    <col min="1523" max="1523" width="5.85546875" customWidth="1"/>
    <col min="1524" max="1524" width="7.85546875" customWidth="1"/>
    <col min="1525" max="1525" width="14.28515625" customWidth="1"/>
    <col min="1526" max="1526" width="14" customWidth="1"/>
    <col min="1527" max="1541" width="0" hidden="1" customWidth="1"/>
    <col min="1542" max="1542" width="11.5703125" customWidth="1"/>
    <col min="1543" max="1543" width="11.85546875" customWidth="1"/>
    <col min="1544" max="1544" width="15.7109375" customWidth="1"/>
    <col min="1545" max="1545" width="1.5703125" customWidth="1"/>
    <col min="1546" max="1546" width="10.5703125" customWidth="1"/>
    <col min="1547" max="1547" width="20.7109375" customWidth="1"/>
    <col min="1548" max="1548" width="2" customWidth="1"/>
    <col min="1549" max="1549" width="10.140625" customWidth="1"/>
    <col min="1550" max="1550" width="13.7109375" customWidth="1"/>
    <col min="1551" max="1551" width="16.5703125" customWidth="1"/>
    <col min="1552" max="1552" width="16" customWidth="1"/>
    <col min="1553" max="1762" width="9.42578125" customWidth="1"/>
    <col min="1763" max="1763" width="7.140625" customWidth="1"/>
    <col min="1764" max="1764" width="35.28515625" customWidth="1"/>
    <col min="1765" max="1765" width="6.7109375" customWidth="1"/>
    <col min="1766" max="1766" width="5.7109375" customWidth="1"/>
    <col min="1767" max="1767" width="5.85546875" customWidth="1"/>
    <col min="1768" max="1768" width="7.85546875" customWidth="1"/>
    <col min="1775" max="1775" width="7.140625" customWidth="1"/>
    <col min="1776" max="1776" width="39.42578125" customWidth="1"/>
    <col min="1777" max="1777" width="6.7109375" customWidth="1"/>
    <col min="1778" max="1778" width="5.7109375" customWidth="1"/>
    <col min="1779" max="1779" width="5.85546875" customWidth="1"/>
    <col min="1780" max="1780" width="7.85546875" customWidth="1"/>
    <col min="1781" max="1781" width="14.28515625" customWidth="1"/>
    <col min="1782" max="1782" width="14" customWidth="1"/>
    <col min="1783" max="1797" width="0" hidden="1" customWidth="1"/>
    <col min="1798" max="1798" width="11.5703125" customWidth="1"/>
    <col min="1799" max="1799" width="11.85546875" customWidth="1"/>
    <col min="1800" max="1800" width="15.7109375" customWidth="1"/>
    <col min="1801" max="1801" width="1.5703125" customWidth="1"/>
    <col min="1802" max="1802" width="10.5703125" customWidth="1"/>
    <col min="1803" max="1803" width="20.7109375" customWidth="1"/>
    <col min="1804" max="1804" width="2" customWidth="1"/>
    <col min="1805" max="1805" width="10.140625" customWidth="1"/>
    <col min="1806" max="1806" width="13.7109375" customWidth="1"/>
    <col min="1807" max="1807" width="16.5703125" customWidth="1"/>
    <col min="1808" max="1808" width="16" customWidth="1"/>
    <col min="1809" max="2018" width="9.42578125" customWidth="1"/>
    <col min="2019" max="2019" width="7.140625" customWidth="1"/>
    <col min="2020" max="2020" width="35.28515625" customWidth="1"/>
    <col min="2021" max="2021" width="6.7109375" customWidth="1"/>
    <col min="2022" max="2022" width="5.7109375" customWidth="1"/>
    <col min="2023" max="2023" width="5.85546875" customWidth="1"/>
    <col min="2024" max="2024" width="7.85546875" customWidth="1"/>
    <col min="2031" max="2031" width="7.140625" customWidth="1"/>
    <col min="2032" max="2032" width="39.42578125" customWidth="1"/>
    <col min="2033" max="2033" width="6.7109375" customWidth="1"/>
    <col min="2034" max="2034" width="5.7109375" customWidth="1"/>
    <col min="2035" max="2035" width="5.85546875" customWidth="1"/>
    <col min="2036" max="2036" width="7.85546875" customWidth="1"/>
    <col min="2037" max="2037" width="14.28515625" customWidth="1"/>
    <col min="2038" max="2038" width="14" customWidth="1"/>
    <col min="2039" max="2053" width="0" hidden="1" customWidth="1"/>
    <col min="2054" max="2054" width="11.5703125" customWidth="1"/>
    <col min="2055" max="2055" width="11.85546875" customWidth="1"/>
    <col min="2056" max="2056" width="15.7109375" customWidth="1"/>
    <col min="2057" max="2057" width="1.5703125" customWidth="1"/>
    <col min="2058" max="2058" width="10.5703125" customWidth="1"/>
    <col min="2059" max="2059" width="20.7109375" customWidth="1"/>
    <col min="2060" max="2060" width="2" customWidth="1"/>
    <col min="2061" max="2061" width="10.140625" customWidth="1"/>
    <col min="2062" max="2062" width="13.7109375" customWidth="1"/>
    <col min="2063" max="2063" width="16.5703125" customWidth="1"/>
    <col min="2064" max="2064" width="16" customWidth="1"/>
    <col min="2065" max="2274" width="9.42578125" customWidth="1"/>
    <col min="2275" max="2275" width="7.140625" customWidth="1"/>
    <col min="2276" max="2276" width="35.28515625" customWidth="1"/>
    <col min="2277" max="2277" width="6.7109375" customWidth="1"/>
    <col min="2278" max="2278" width="5.7109375" customWidth="1"/>
    <col min="2279" max="2279" width="5.85546875" customWidth="1"/>
    <col min="2280" max="2280" width="7.85546875" customWidth="1"/>
    <col min="2287" max="2287" width="7.140625" customWidth="1"/>
    <col min="2288" max="2288" width="39.42578125" customWidth="1"/>
    <col min="2289" max="2289" width="6.7109375" customWidth="1"/>
    <col min="2290" max="2290" width="5.7109375" customWidth="1"/>
    <col min="2291" max="2291" width="5.85546875" customWidth="1"/>
    <col min="2292" max="2292" width="7.85546875" customWidth="1"/>
    <col min="2293" max="2293" width="14.28515625" customWidth="1"/>
    <col min="2294" max="2294" width="14" customWidth="1"/>
    <col min="2295" max="2309" width="0" hidden="1" customWidth="1"/>
    <col min="2310" max="2310" width="11.5703125" customWidth="1"/>
    <col min="2311" max="2311" width="11.85546875" customWidth="1"/>
    <col min="2312" max="2312" width="15.7109375" customWidth="1"/>
    <col min="2313" max="2313" width="1.5703125" customWidth="1"/>
    <col min="2314" max="2314" width="10.5703125" customWidth="1"/>
    <col min="2315" max="2315" width="20.7109375" customWidth="1"/>
    <col min="2316" max="2316" width="2" customWidth="1"/>
    <col min="2317" max="2317" width="10.140625" customWidth="1"/>
    <col min="2318" max="2318" width="13.7109375" customWidth="1"/>
    <col min="2319" max="2319" width="16.5703125" customWidth="1"/>
    <col min="2320" max="2320" width="16" customWidth="1"/>
    <col min="2321" max="2530" width="9.42578125" customWidth="1"/>
    <col min="2531" max="2531" width="7.140625" customWidth="1"/>
    <col min="2532" max="2532" width="35.28515625" customWidth="1"/>
    <col min="2533" max="2533" width="6.7109375" customWidth="1"/>
    <col min="2534" max="2534" width="5.7109375" customWidth="1"/>
    <col min="2535" max="2535" width="5.85546875" customWidth="1"/>
    <col min="2536" max="2536" width="7.85546875" customWidth="1"/>
    <col min="2543" max="2543" width="7.140625" customWidth="1"/>
    <col min="2544" max="2544" width="39.42578125" customWidth="1"/>
    <col min="2545" max="2545" width="6.7109375" customWidth="1"/>
    <col min="2546" max="2546" width="5.7109375" customWidth="1"/>
    <col min="2547" max="2547" width="5.85546875" customWidth="1"/>
    <col min="2548" max="2548" width="7.85546875" customWidth="1"/>
    <col min="2549" max="2549" width="14.28515625" customWidth="1"/>
    <col min="2550" max="2550" width="14" customWidth="1"/>
    <col min="2551" max="2565" width="0" hidden="1" customWidth="1"/>
    <col min="2566" max="2566" width="11.5703125" customWidth="1"/>
    <col min="2567" max="2567" width="11.85546875" customWidth="1"/>
    <col min="2568" max="2568" width="15.7109375" customWidth="1"/>
    <col min="2569" max="2569" width="1.5703125" customWidth="1"/>
    <col min="2570" max="2570" width="10.5703125" customWidth="1"/>
    <col min="2571" max="2571" width="20.7109375" customWidth="1"/>
    <col min="2572" max="2572" width="2" customWidth="1"/>
    <col min="2573" max="2573" width="10.140625" customWidth="1"/>
    <col min="2574" max="2574" width="13.7109375" customWidth="1"/>
    <col min="2575" max="2575" width="16.5703125" customWidth="1"/>
    <col min="2576" max="2576" width="16" customWidth="1"/>
    <col min="2577" max="2786" width="9.42578125" customWidth="1"/>
    <col min="2787" max="2787" width="7.140625" customWidth="1"/>
    <col min="2788" max="2788" width="35.28515625" customWidth="1"/>
    <col min="2789" max="2789" width="6.7109375" customWidth="1"/>
    <col min="2790" max="2790" width="5.7109375" customWidth="1"/>
    <col min="2791" max="2791" width="5.85546875" customWidth="1"/>
    <col min="2792" max="2792" width="7.85546875" customWidth="1"/>
    <col min="2799" max="2799" width="7.140625" customWidth="1"/>
    <col min="2800" max="2800" width="39.42578125" customWidth="1"/>
    <col min="2801" max="2801" width="6.7109375" customWidth="1"/>
    <col min="2802" max="2802" width="5.7109375" customWidth="1"/>
    <col min="2803" max="2803" width="5.85546875" customWidth="1"/>
    <col min="2804" max="2804" width="7.85546875" customWidth="1"/>
    <col min="2805" max="2805" width="14.28515625" customWidth="1"/>
    <col min="2806" max="2806" width="14" customWidth="1"/>
    <col min="2807" max="2821" width="0" hidden="1" customWidth="1"/>
    <col min="2822" max="2822" width="11.5703125" customWidth="1"/>
    <col min="2823" max="2823" width="11.85546875" customWidth="1"/>
    <col min="2824" max="2824" width="15.7109375" customWidth="1"/>
    <col min="2825" max="2825" width="1.5703125" customWidth="1"/>
    <col min="2826" max="2826" width="10.5703125" customWidth="1"/>
    <col min="2827" max="2827" width="20.7109375" customWidth="1"/>
    <col min="2828" max="2828" width="2" customWidth="1"/>
    <col min="2829" max="2829" width="10.140625" customWidth="1"/>
    <col min="2830" max="2830" width="13.7109375" customWidth="1"/>
    <col min="2831" max="2831" width="16.5703125" customWidth="1"/>
    <col min="2832" max="2832" width="16" customWidth="1"/>
    <col min="2833" max="3042" width="9.42578125" customWidth="1"/>
    <col min="3043" max="3043" width="7.140625" customWidth="1"/>
    <col min="3044" max="3044" width="35.28515625" customWidth="1"/>
    <col min="3045" max="3045" width="6.7109375" customWidth="1"/>
    <col min="3046" max="3046" width="5.7109375" customWidth="1"/>
    <col min="3047" max="3047" width="5.85546875" customWidth="1"/>
    <col min="3048" max="3048" width="7.85546875" customWidth="1"/>
    <col min="3055" max="3055" width="7.140625" customWidth="1"/>
    <col min="3056" max="3056" width="39.42578125" customWidth="1"/>
    <col min="3057" max="3057" width="6.7109375" customWidth="1"/>
    <col min="3058" max="3058" width="5.7109375" customWidth="1"/>
    <col min="3059" max="3059" width="5.85546875" customWidth="1"/>
    <col min="3060" max="3060" width="7.85546875" customWidth="1"/>
    <col min="3061" max="3061" width="14.28515625" customWidth="1"/>
    <col min="3062" max="3062" width="14" customWidth="1"/>
    <col min="3063" max="3077" width="0" hidden="1" customWidth="1"/>
    <col min="3078" max="3078" width="11.5703125" customWidth="1"/>
    <col min="3079" max="3079" width="11.85546875" customWidth="1"/>
    <col min="3080" max="3080" width="15.7109375" customWidth="1"/>
    <col min="3081" max="3081" width="1.5703125" customWidth="1"/>
    <col min="3082" max="3082" width="10.5703125" customWidth="1"/>
    <col min="3083" max="3083" width="20.7109375" customWidth="1"/>
    <col min="3084" max="3084" width="2" customWidth="1"/>
    <col min="3085" max="3085" width="10.140625" customWidth="1"/>
    <col min="3086" max="3086" width="13.7109375" customWidth="1"/>
    <col min="3087" max="3087" width="16.5703125" customWidth="1"/>
    <col min="3088" max="3088" width="16" customWidth="1"/>
    <col min="3089" max="3298" width="9.42578125" customWidth="1"/>
    <col min="3299" max="3299" width="7.140625" customWidth="1"/>
    <col min="3300" max="3300" width="35.28515625" customWidth="1"/>
    <col min="3301" max="3301" width="6.7109375" customWidth="1"/>
    <col min="3302" max="3302" width="5.7109375" customWidth="1"/>
    <col min="3303" max="3303" width="5.85546875" customWidth="1"/>
    <col min="3304" max="3304" width="7.85546875" customWidth="1"/>
    <col min="3311" max="3311" width="7.140625" customWidth="1"/>
    <col min="3312" max="3312" width="39.42578125" customWidth="1"/>
    <col min="3313" max="3313" width="6.7109375" customWidth="1"/>
    <col min="3314" max="3314" width="5.7109375" customWidth="1"/>
    <col min="3315" max="3315" width="5.85546875" customWidth="1"/>
    <col min="3316" max="3316" width="7.85546875" customWidth="1"/>
    <col min="3317" max="3317" width="14.28515625" customWidth="1"/>
    <col min="3318" max="3318" width="14" customWidth="1"/>
    <col min="3319" max="3333" width="0" hidden="1" customWidth="1"/>
    <col min="3334" max="3334" width="11.5703125" customWidth="1"/>
    <col min="3335" max="3335" width="11.85546875" customWidth="1"/>
    <col min="3336" max="3336" width="15.7109375" customWidth="1"/>
    <col min="3337" max="3337" width="1.5703125" customWidth="1"/>
    <col min="3338" max="3338" width="10.5703125" customWidth="1"/>
    <col min="3339" max="3339" width="20.7109375" customWidth="1"/>
    <col min="3340" max="3340" width="2" customWidth="1"/>
    <col min="3341" max="3341" width="10.140625" customWidth="1"/>
    <col min="3342" max="3342" width="13.7109375" customWidth="1"/>
    <col min="3343" max="3343" width="16.5703125" customWidth="1"/>
    <col min="3344" max="3344" width="16" customWidth="1"/>
    <col min="3345" max="3554" width="9.42578125" customWidth="1"/>
    <col min="3555" max="3555" width="7.140625" customWidth="1"/>
    <col min="3556" max="3556" width="35.28515625" customWidth="1"/>
    <col min="3557" max="3557" width="6.7109375" customWidth="1"/>
    <col min="3558" max="3558" width="5.7109375" customWidth="1"/>
    <col min="3559" max="3559" width="5.85546875" customWidth="1"/>
    <col min="3560" max="3560" width="7.85546875" customWidth="1"/>
    <col min="3567" max="3567" width="7.140625" customWidth="1"/>
    <col min="3568" max="3568" width="39.42578125" customWidth="1"/>
    <col min="3569" max="3569" width="6.7109375" customWidth="1"/>
    <col min="3570" max="3570" width="5.7109375" customWidth="1"/>
    <col min="3571" max="3571" width="5.85546875" customWidth="1"/>
    <col min="3572" max="3572" width="7.85546875" customWidth="1"/>
    <col min="3573" max="3573" width="14.28515625" customWidth="1"/>
    <col min="3574" max="3574" width="14" customWidth="1"/>
    <col min="3575" max="3589" width="0" hidden="1" customWidth="1"/>
    <col min="3590" max="3590" width="11.5703125" customWidth="1"/>
    <col min="3591" max="3591" width="11.85546875" customWidth="1"/>
    <col min="3592" max="3592" width="15.7109375" customWidth="1"/>
    <col min="3593" max="3593" width="1.5703125" customWidth="1"/>
    <col min="3594" max="3594" width="10.5703125" customWidth="1"/>
    <col min="3595" max="3595" width="20.7109375" customWidth="1"/>
    <col min="3596" max="3596" width="2" customWidth="1"/>
    <col min="3597" max="3597" width="10.140625" customWidth="1"/>
    <col min="3598" max="3598" width="13.7109375" customWidth="1"/>
    <col min="3599" max="3599" width="16.5703125" customWidth="1"/>
    <col min="3600" max="3600" width="16" customWidth="1"/>
    <col min="3601" max="3810" width="9.42578125" customWidth="1"/>
    <col min="3811" max="3811" width="7.140625" customWidth="1"/>
    <col min="3812" max="3812" width="35.28515625" customWidth="1"/>
    <col min="3813" max="3813" width="6.7109375" customWidth="1"/>
    <col min="3814" max="3814" width="5.7109375" customWidth="1"/>
    <col min="3815" max="3815" width="5.85546875" customWidth="1"/>
    <col min="3816" max="3816" width="7.85546875" customWidth="1"/>
    <col min="3823" max="3823" width="7.140625" customWidth="1"/>
    <col min="3824" max="3824" width="39.42578125" customWidth="1"/>
    <col min="3825" max="3825" width="6.7109375" customWidth="1"/>
    <col min="3826" max="3826" width="5.7109375" customWidth="1"/>
    <col min="3827" max="3827" width="5.85546875" customWidth="1"/>
    <col min="3828" max="3828" width="7.85546875" customWidth="1"/>
    <col min="3829" max="3829" width="14.28515625" customWidth="1"/>
    <col min="3830" max="3830" width="14" customWidth="1"/>
    <col min="3831" max="3845" width="0" hidden="1" customWidth="1"/>
    <col min="3846" max="3846" width="11.5703125" customWidth="1"/>
    <col min="3847" max="3847" width="11.85546875" customWidth="1"/>
    <col min="3848" max="3848" width="15.7109375" customWidth="1"/>
    <col min="3849" max="3849" width="1.5703125" customWidth="1"/>
    <col min="3850" max="3850" width="10.5703125" customWidth="1"/>
    <col min="3851" max="3851" width="20.7109375" customWidth="1"/>
    <col min="3852" max="3852" width="2" customWidth="1"/>
    <col min="3853" max="3853" width="10.140625" customWidth="1"/>
    <col min="3854" max="3854" width="13.7109375" customWidth="1"/>
    <col min="3855" max="3855" width="16.5703125" customWidth="1"/>
    <col min="3856" max="3856" width="16" customWidth="1"/>
    <col min="3857" max="4066" width="9.42578125" customWidth="1"/>
    <col min="4067" max="4067" width="7.140625" customWidth="1"/>
    <col min="4068" max="4068" width="35.28515625" customWidth="1"/>
    <col min="4069" max="4069" width="6.7109375" customWidth="1"/>
    <col min="4070" max="4070" width="5.7109375" customWidth="1"/>
    <col min="4071" max="4071" width="5.85546875" customWidth="1"/>
    <col min="4072" max="4072" width="7.85546875" customWidth="1"/>
    <col min="4079" max="4079" width="7.140625" customWidth="1"/>
    <col min="4080" max="4080" width="39.42578125" customWidth="1"/>
    <col min="4081" max="4081" width="6.7109375" customWidth="1"/>
    <col min="4082" max="4082" width="5.7109375" customWidth="1"/>
    <col min="4083" max="4083" width="5.85546875" customWidth="1"/>
    <col min="4084" max="4084" width="7.85546875" customWidth="1"/>
    <col min="4085" max="4085" width="14.28515625" customWidth="1"/>
    <col min="4086" max="4086" width="14" customWidth="1"/>
    <col min="4087" max="4101" width="0" hidden="1" customWidth="1"/>
    <col min="4102" max="4102" width="11.5703125" customWidth="1"/>
    <col min="4103" max="4103" width="11.85546875" customWidth="1"/>
    <col min="4104" max="4104" width="15.7109375" customWidth="1"/>
    <col min="4105" max="4105" width="1.5703125" customWidth="1"/>
    <col min="4106" max="4106" width="10.5703125" customWidth="1"/>
    <col min="4107" max="4107" width="20.7109375" customWidth="1"/>
    <col min="4108" max="4108" width="2" customWidth="1"/>
    <col min="4109" max="4109" width="10.140625" customWidth="1"/>
    <col min="4110" max="4110" width="13.7109375" customWidth="1"/>
    <col min="4111" max="4111" width="16.5703125" customWidth="1"/>
    <col min="4112" max="4112" width="16" customWidth="1"/>
    <col min="4113" max="4322" width="9.42578125" customWidth="1"/>
    <col min="4323" max="4323" width="7.140625" customWidth="1"/>
    <col min="4324" max="4324" width="35.28515625" customWidth="1"/>
    <col min="4325" max="4325" width="6.7109375" customWidth="1"/>
    <col min="4326" max="4326" width="5.7109375" customWidth="1"/>
    <col min="4327" max="4327" width="5.85546875" customWidth="1"/>
    <col min="4328" max="4328" width="7.85546875" customWidth="1"/>
    <col min="4335" max="4335" width="7.140625" customWidth="1"/>
    <col min="4336" max="4336" width="39.42578125" customWidth="1"/>
    <col min="4337" max="4337" width="6.7109375" customWidth="1"/>
    <col min="4338" max="4338" width="5.7109375" customWidth="1"/>
    <col min="4339" max="4339" width="5.85546875" customWidth="1"/>
    <col min="4340" max="4340" width="7.85546875" customWidth="1"/>
    <col min="4341" max="4341" width="14.28515625" customWidth="1"/>
    <col min="4342" max="4342" width="14" customWidth="1"/>
    <col min="4343" max="4357" width="0" hidden="1" customWidth="1"/>
    <col min="4358" max="4358" width="11.5703125" customWidth="1"/>
    <col min="4359" max="4359" width="11.85546875" customWidth="1"/>
    <col min="4360" max="4360" width="15.7109375" customWidth="1"/>
    <col min="4361" max="4361" width="1.5703125" customWidth="1"/>
    <col min="4362" max="4362" width="10.5703125" customWidth="1"/>
    <col min="4363" max="4363" width="20.7109375" customWidth="1"/>
    <col min="4364" max="4364" width="2" customWidth="1"/>
    <col min="4365" max="4365" width="10.140625" customWidth="1"/>
    <col min="4366" max="4366" width="13.7109375" customWidth="1"/>
    <col min="4367" max="4367" width="16.5703125" customWidth="1"/>
    <col min="4368" max="4368" width="16" customWidth="1"/>
    <col min="4369" max="4578" width="9.42578125" customWidth="1"/>
    <col min="4579" max="4579" width="7.140625" customWidth="1"/>
    <col min="4580" max="4580" width="35.28515625" customWidth="1"/>
    <col min="4581" max="4581" width="6.7109375" customWidth="1"/>
    <col min="4582" max="4582" width="5.7109375" customWidth="1"/>
    <col min="4583" max="4583" width="5.85546875" customWidth="1"/>
    <col min="4584" max="4584" width="7.85546875" customWidth="1"/>
    <col min="4591" max="4591" width="7.140625" customWidth="1"/>
    <col min="4592" max="4592" width="39.42578125" customWidth="1"/>
    <col min="4593" max="4593" width="6.7109375" customWidth="1"/>
    <col min="4594" max="4594" width="5.7109375" customWidth="1"/>
    <col min="4595" max="4595" width="5.85546875" customWidth="1"/>
    <col min="4596" max="4596" width="7.85546875" customWidth="1"/>
    <col min="4597" max="4597" width="14.28515625" customWidth="1"/>
    <col min="4598" max="4598" width="14" customWidth="1"/>
    <col min="4599" max="4613" width="0" hidden="1" customWidth="1"/>
    <col min="4614" max="4614" width="11.5703125" customWidth="1"/>
    <col min="4615" max="4615" width="11.85546875" customWidth="1"/>
    <col min="4616" max="4616" width="15.7109375" customWidth="1"/>
    <col min="4617" max="4617" width="1.5703125" customWidth="1"/>
    <col min="4618" max="4618" width="10.5703125" customWidth="1"/>
    <col min="4619" max="4619" width="20.7109375" customWidth="1"/>
    <col min="4620" max="4620" width="2" customWidth="1"/>
    <col min="4621" max="4621" width="10.140625" customWidth="1"/>
    <col min="4622" max="4622" width="13.7109375" customWidth="1"/>
    <col min="4623" max="4623" width="16.5703125" customWidth="1"/>
    <col min="4624" max="4624" width="16" customWidth="1"/>
    <col min="4625" max="4834" width="9.42578125" customWidth="1"/>
    <col min="4835" max="4835" width="7.140625" customWidth="1"/>
    <col min="4836" max="4836" width="35.28515625" customWidth="1"/>
    <col min="4837" max="4837" width="6.7109375" customWidth="1"/>
    <col min="4838" max="4838" width="5.7109375" customWidth="1"/>
    <col min="4839" max="4839" width="5.85546875" customWidth="1"/>
    <col min="4840" max="4840" width="7.85546875" customWidth="1"/>
    <col min="4847" max="4847" width="7.140625" customWidth="1"/>
    <col min="4848" max="4848" width="39.42578125" customWidth="1"/>
    <col min="4849" max="4849" width="6.7109375" customWidth="1"/>
    <col min="4850" max="4850" width="5.7109375" customWidth="1"/>
    <col min="4851" max="4851" width="5.85546875" customWidth="1"/>
    <col min="4852" max="4852" width="7.85546875" customWidth="1"/>
    <col min="4853" max="4853" width="14.28515625" customWidth="1"/>
    <col min="4854" max="4854" width="14" customWidth="1"/>
    <col min="4855" max="4869" width="0" hidden="1" customWidth="1"/>
    <col min="4870" max="4870" width="11.5703125" customWidth="1"/>
    <col min="4871" max="4871" width="11.85546875" customWidth="1"/>
    <col min="4872" max="4872" width="15.7109375" customWidth="1"/>
    <col min="4873" max="4873" width="1.5703125" customWidth="1"/>
    <col min="4874" max="4874" width="10.5703125" customWidth="1"/>
    <col min="4875" max="4875" width="20.7109375" customWidth="1"/>
    <col min="4876" max="4876" width="2" customWidth="1"/>
    <col min="4877" max="4877" width="10.140625" customWidth="1"/>
    <col min="4878" max="4878" width="13.7109375" customWidth="1"/>
    <col min="4879" max="4879" width="16.5703125" customWidth="1"/>
    <col min="4880" max="4880" width="16" customWidth="1"/>
    <col min="4881" max="5090" width="9.42578125" customWidth="1"/>
    <col min="5091" max="5091" width="7.140625" customWidth="1"/>
    <col min="5092" max="5092" width="35.28515625" customWidth="1"/>
    <col min="5093" max="5093" width="6.7109375" customWidth="1"/>
    <col min="5094" max="5094" width="5.7109375" customWidth="1"/>
    <col min="5095" max="5095" width="5.85546875" customWidth="1"/>
    <col min="5096" max="5096" width="7.85546875" customWidth="1"/>
    <col min="5103" max="5103" width="7.140625" customWidth="1"/>
    <col min="5104" max="5104" width="39.42578125" customWidth="1"/>
    <col min="5105" max="5105" width="6.7109375" customWidth="1"/>
    <col min="5106" max="5106" width="5.7109375" customWidth="1"/>
    <col min="5107" max="5107" width="5.85546875" customWidth="1"/>
    <col min="5108" max="5108" width="7.85546875" customWidth="1"/>
    <col min="5109" max="5109" width="14.28515625" customWidth="1"/>
    <col min="5110" max="5110" width="14" customWidth="1"/>
    <col min="5111" max="5125" width="0" hidden="1" customWidth="1"/>
    <col min="5126" max="5126" width="11.5703125" customWidth="1"/>
    <col min="5127" max="5127" width="11.85546875" customWidth="1"/>
    <col min="5128" max="5128" width="15.7109375" customWidth="1"/>
    <col min="5129" max="5129" width="1.5703125" customWidth="1"/>
    <col min="5130" max="5130" width="10.5703125" customWidth="1"/>
    <col min="5131" max="5131" width="20.7109375" customWidth="1"/>
    <col min="5132" max="5132" width="2" customWidth="1"/>
    <col min="5133" max="5133" width="10.140625" customWidth="1"/>
    <col min="5134" max="5134" width="13.7109375" customWidth="1"/>
    <col min="5135" max="5135" width="16.5703125" customWidth="1"/>
    <col min="5136" max="5136" width="16" customWidth="1"/>
    <col min="5137" max="5346" width="9.42578125" customWidth="1"/>
    <col min="5347" max="5347" width="7.140625" customWidth="1"/>
    <col min="5348" max="5348" width="35.28515625" customWidth="1"/>
    <col min="5349" max="5349" width="6.7109375" customWidth="1"/>
    <col min="5350" max="5350" width="5.7109375" customWidth="1"/>
    <col min="5351" max="5351" width="5.85546875" customWidth="1"/>
    <col min="5352" max="5352" width="7.85546875" customWidth="1"/>
    <col min="5359" max="5359" width="7.140625" customWidth="1"/>
    <col min="5360" max="5360" width="39.42578125" customWidth="1"/>
    <col min="5361" max="5361" width="6.7109375" customWidth="1"/>
    <col min="5362" max="5362" width="5.7109375" customWidth="1"/>
    <col min="5363" max="5363" width="5.85546875" customWidth="1"/>
    <col min="5364" max="5364" width="7.85546875" customWidth="1"/>
    <col min="5365" max="5365" width="14.28515625" customWidth="1"/>
    <col min="5366" max="5366" width="14" customWidth="1"/>
    <col min="5367" max="5381" width="0" hidden="1" customWidth="1"/>
    <col min="5382" max="5382" width="11.5703125" customWidth="1"/>
    <col min="5383" max="5383" width="11.85546875" customWidth="1"/>
    <col min="5384" max="5384" width="15.7109375" customWidth="1"/>
    <col min="5385" max="5385" width="1.5703125" customWidth="1"/>
    <col min="5386" max="5386" width="10.5703125" customWidth="1"/>
    <col min="5387" max="5387" width="20.7109375" customWidth="1"/>
    <col min="5388" max="5388" width="2" customWidth="1"/>
    <col min="5389" max="5389" width="10.140625" customWidth="1"/>
    <col min="5390" max="5390" width="13.7109375" customWidth="1"/>
    <col min="5391" max="5391" width="16.5703125" customWidth="1"/>
    <col min="5392" max="5392" width="16" customWidth="1"/>
    <col min="5393" max="5602" width="9.42578125" customWidth="1"/>
    <col min="5603" max="5603" width="7.140625" customWidth="1"/>
    <col min="5604" max="5604" width="35.28515625" customWidth="1"/>
    <col min="5605" max="5605" width="6.7109375" customWidth="1"/>
    <col min="5606" max="5606" width="5.7109375" customWidth="1"/>
    <col min="5607" max="5607" width="5.85546875" customWidth="1"/>
    <col min="5608" max="5608" width="7.85546875" customWidth="1"/>
    <col min="5615" max="5615" width="7.140625" customWidth="1"/>
    <col min="5616" max="5616" width="39.42578125" customWidth="1"/>
    <col min="5617" max="5617" width="6.7109375" customWidth="1"/>
    <col min="5618" max="5618" width="5.7109375" customWidth="1"/>
    <col min="5619" max="5619" width="5.85546875" customWidth="1"/>
    <col min="5620" max="5620" width="7.85546875" customWidth="1"/>
    <col min="5621" max="5621" width="14.28515625" customWidth="1"/>
    <col min="5622" max="5622" width="14" customWidth="1"/>
    <col min="5623" max="5637" width="0" hidden="1" customWidth="1"/>
    <col min="5638" max="5638" width="11.5703125" customWidth="1"/>
    <col min="5639" max="5639" width="11.85546875" customWidth="1"/>
    <col min="5640" max="5640" width="15.7109375" customWidth="1"/>
    <col min="5641" max="5641" width="1.5703125" customWidth="1"/>
    <col min="5642" max="5642" width="10.5703125" customWidth="1"/>
    <col min="5643" max="5643" width="20.7109375" customWidth="1"/>
    <col min="5644" max="5644" width="2" customWidth="1"/>
    <col min="5645" max="5645" width="10.140625" customWidth="1"/>
    <col min="5646" max="5646" width="13.7109375" customWidth="1"/>
    <col min="5647" max="5647" width="16.5703125" customWidth="1"/>
    <col min="5648" max="5648" width="16" customWidth="1"/>
    <col min="5649" max="5858" width="9.42578125" customWidth="1"/>
    <col min="5859" max="5859" width="7.140625" customWidth="1"/>
    <col min="5860" max="5860" width="35.28515625" customWidth="1"/>
    <col min="5861" max="5861" width="6.7109375" customWidth="1"/>
    <col min="5862" max="5862" width="5.7109375" customWidth="1"/>
    <col min="5863" max="5863" width="5.85546875" customWidth="1"/>
    <col min="5864" max="5864" width="7.85546875" customWidth="1"/>
    <col min="5871" max="5871" width="7.140625" customWidth="1"/>
    <col min="5872" max="5872" width="39.42578125" customWidth="1"/>
    <col min="5873" max="5873" width="6.7109375" customWidth="1"/>
    <col min="5874" max="5874" width="5.7109375" customWidth="1"/>
    <col min="5875" max="5875" width="5.85546875" customWidth="1"/>
    <col min="5876" max="5876" width="7.85546875" customWidth="1"/>
    <col min="5877" max="5877" width="14.28515625" customWidth="1"/>
    <col min="5878" max="5878" width="14" customWidth="1"/>
    <col min="5879" max="5893" width="0" hidden="1" customWidth="1"/>
    <col min="5894" max="5894" width="11.5703125" customWidth="1"/>
    <col min="5895" max="5895" width="11.85546875" customWidth="1"/>
    <col min="5896" max="5896" width="15.7109375" customWidth="1"/>
    <col min="5897" max="5897" width="1.5703125" customWidth="1"/>
    <col min="5898" max="5898" width="10.5703125" customWidth="1"/>
    <col min="5899" max="5899" width="20.7109375" customWidth="1"/>
    <col min="5900" max="5900" width="2" customWidth="1"/>
    <col min="5901" max="5901" width="10.140625" customWidth="1"/>
    <col min="5902" max="5902" width="13.7109375" customWidth="1"/>
    <col min="5903" max="5903" width="16.5703125" customWidth="1"/>
    <col min="5904" max="5904" width="16" customWidth="1"/>
    <col min="5905" max="6114" width="9.42578125" customWidth="1"/>
    <col min="6115" max="6115" width="7.140625" customWidth="1"/>
    <col min="6116" max="6116" width="35.28515625" customWidth="1"/>
    <col min="6117" max="6117" width="6.7109375" customWidth="1"/>
    <col min="6118" max="6118" width="5.7109375" customWidth="1"/>
    <col min="6119" max="6119" width="5.85546875" customWidth="1"/>
    <col min="6120" max="6120" width="7.85546875" customWidth="1"/>
    <col min="6127" max="6127" width="7.140625" customWidth="1"/>
    <col min="6128" max="6128" width="39.42578125" customWidth="1"/>
    <col min="6129" max="6129" width="6.7109375" customWidth="1"/>
    <col min="6130" max="6130" width="5.7109375" customWidth="1"/>
    <col min="6131" max="6131" width="5.85546875" customWidth="1"/>
    <col min="6132" max="6132" width="7.85546875" customWidth="1"/>
    <col min="6133" max="6133" width="14.28515625" customWidth="1"/>
    <col min="6134" max="6134" width="14" customWidth="1"/>
    <col min="6135" max="6149" width="0" hidden="1" customWidth="1"/>
    <col min="6150" max="6150" width="11.5703125" customWidth="1"/>
    <col min="6151" max="6151" width="11.85546875" customWidth="1"/>
    <col min="6152" max="6152" width="15.7109375" customWidth="1"/>
    <col min="6153" max="6153" width="1.5703125" customWidth="1"/>
    <col min="6154" max="6154" width="10.5703125" customWidth="1"/>
    <col min="6155" max="6155" width="20.7109375" customWidth="1"/>
    <col min="6156" max="6156" width="2" customWidth="1"/>
    <col min="6157" max="6157" width="10.140625" customWidth="1"/>
    <col min="6158" max="6158" width="13.7109375" customWidth="1"/>
    <col min="6159" max="6159" width="16.5703125" customWidth="1"/>
    <col min="6160" max="6160" width="16" customWidth="1"/>
    <col min="6161" max="6370" width="9.42578125" customWidth="1"/>
    <col min="6371" max="6371" width="7.140625" customWidth="1"/>
    <col min="6372" max="6372" width="35.28515625" customWidth="1"/>
    <col min="6373" max="6373" width="6.7109375" customWidth="1"/>
    <col min="6374" max="6374" width="5.7109375" customWidth="1"/>
    <col min="6375" max="6375" width="5.85546875" customWidth="1"/>
    <col min="6376" max="6376" width="7.85546875" customWidth="1"/>
    <col min="6383" max="6383" width="7.140625" customWidth="1"/>
    <col min="6384" max="6384" width="39.42578125" customWidth="1"/>
    <col min="6385" max="6385" width="6.7109375" customWidth="1"/>
    <col min="6386" max="6386" width="5.7109375" customWidth="1"/>
    <col min="6387" max="6387" width="5.85546875" customWidth="1"/>
    <col min="6388" max="6388" width="7.85546875" customWidth="1"/>
    <col min="6389" max="6389" width="14.28515625" customWidth="1"/>
    <col min="6390" max="6390" width="14" customWidth="1"/>
    <col min="6391" max="6405" width="0" hidden="1" customWidth="1"/>
    <col min="6406" max="6406" width="11.5703125" customWidth="1"/>
    <col min="6407" max="6407" width="11.85546875" customWidth="1"/>
    <col min="6408" max="6408" width="15.7109375" customWidth="1"/>
    <col min="6409" max="6409" width="1.5703125" customWidth="1"/>
    <col min="6410" max="6410" width="10.5703125" customWidth="1"/>
    <col min="6411" max="6411" width="20.7109375" customWidth="1"/>
    <col min="6412" max="6412" width="2" customWidth="1"/>
    <col min="6413" max="6413" width="10.140625" customWidth="1"/>
    <col min="6414" max="6414" width="13.7109375" customWidth="1"/>
    <col min="6415" max="6415" width="16.5703125" customWidth="1"/>
    <col min="6416" max="6416" width="16" customWidth="1"/>
    <col min="6417" max="6626" width="9.42578125" customWidth="1"/>
    <col min="6627" max="6627" width="7.140625" customWidth="1"/>
    <col min="6628" max="6628" width="35.28515625" customWidth="1"/>
    <col min="6629" max="6629" width="6.7109375" customWidth="1"/>
    <col min="6630" max="6630" width="5.7109375" customWidth="1"/>
    <col min="6631" max="6631" width="5.85546875" customWidth="1"/>
    <col min="6632" max="6632" width="7.85546875" customWidth="1"/>
    <col min="6639" max="6639" width="7.140625" customWidth="1"/>
    <col min="6640" max="6640" width="39.42578125" customWidth="1"/>
    <col min="6641" max="6641" width="6.7109375" customWidth="1"/>
    <col min="6642" max="6642" width="5.7109375" customWidth="1"/>
    <col min="6643" max="6643" width="5.85546875" customWidth="1"/>
    <col min="6644" max="6644" width="7.85546875" customWidth="1"/>
    <col min="6645" max="6645" width="14.28515625" customWidth="1"/>
    <col min="6646" max="6646" width="14" customWidth="1"/>
    <col min="6647" max="6661" width="0" hidden="1" customWidth="1"/>
    <col min="6662" max="6662" width="11.5703125" customWidth="1"/>
    <col min="6663" max="6663" width="11.85546875" customWidth="1"/>
    <col min="6664" max="6664" width="15.7109375" customWidth="1"/>
    <col min="6665" max="6665" width="1.5703125" customWidth="1"/>
    <col min="6666" max="6666" width="10.5703125" customWidth="1"/>
    <col min="6667" max="6667" width="20.7109375" customWidth="1"/>
    <col min="6668" max="6668" width="2" customWidth="1"/>
    <col min="6669" max="6669" width="10.140625" customWidth="1"/>
    <col min="6670" max="6670" width="13.7109375" customWidth="1"/>
    <col min="6671" max="6671" width="16.5703125" customWidth="1"/>
    <col min="6672" max="6672" width="16" customWidth="1"/>
    <col min="6673" max="6882" width="9.42578125" customWidth="1"/>
    <col min="6883" max="6883" width="7.140625" customWidth="1"/>
    <col min="6884" max="6884" width="35.28515625" customWidth="1"/>
    <col min="6885" max="6885" width="6.7109375" customWidth="1"/>
    <col min="6886" max="6886" width="5.7109375" customWidth="1"/>
    <col min="6887" max="6887" width="5.85546875" customWidth="1"/>
    <col min="6888" max="6888" width="7.85546875" customWidth="1"/>
    <col min="6895" max="6895" width="7.140625" customWidth="1"/>
    <col min="6896" max="6896" width="39.42578125" customWidth="1"/>
    <col min="6897" max="6897" width="6.7109375" customWidth="1"/>
    <col min="6898" max="6898" width="5.7109375" customWidth="1"/>
    <col min="6899" max="6899" width="5.85546875" customWidth="1"/>
    <col min="6900" max="6900" width="7.85546875" customWidth="1"/>
    <col min="6901" max="6901" width="14.28515625" customWidth="1"/>
    <col min="6902" max="6902" width="14" customWidth="1"/>
    <col min="6903" max="6917" width="0" hidden="1" customWidth="1"/>
    <col min="6918" max="6918" width="11.5703125" customWidth="1"/>
    <col min="6919" max="6919" width="11.85546875" customWidth="1"/>
    <col min="6920" max="6920" width="15.7109375" customWidth="1"/>
    <col min="6921" max="6921" width="1.5703125" customWidth="1"/>
    <col min="6922" max="6922" width="10.5703125" customWidth="1"/>
    <col min="6923" max="6923" width="20.7109375" customWidth="1"/>
    <col min="6924" max="6924" width="2" customWidth="1"/>
    <col min="6925" max="6925" width="10.140625" customWidth="1"/>
    <col min="6926" max="6926" width="13.7109375" customWidth="1"/>
    <col min="6927" max="6927" width="16.5703125" customWidth="1"/>
    <col min="6928" max="6928" width="16" customWidth="1"/>
    <col min="6929" max="7138" width="9.42578125" customWidth="1"/>
    <col min="7139" max="7139" width="7.140625" customWidth="1"/>
    <col min="7140" max="7140" width="35.28515625" customWidth="1"/>
    <col min="7141" max="7141" width="6.7109375" customWidth="1"/>
    <col min="7142" max="7142" width="5.7109375" customWidth="1"/>
    <col min="7143" max="7143" width="5.85546875" customWidth="1"/>
    <col min="7144" max="7144" width="7.85546875" customWidth="1"/>
    <col min="7151" max="7151" width="7.140625" customWidth="1"/>
    <col min="7152" max="7152" width="39.42578125" customWidth="1"/>
    <col min="7153" max="7153" width="6.7109375" customWidth="1"/>
    <col min="7154" max="7154" width="5.7109375" customWidth="1"/>
    <col min="7155" max="7155" width="5.85546875" customWidth="1"/>
    <col min="7156" max="7156" width="7.85546875" customWidth="1"/>
    <col min="7157" max="7157" width="14.28515625" customWidth="1"/>
    <col min="7158" max="7158" width="14" customWidth="1"/>
    <col min="7159" max="7173" width="0" hidden="1" customWidth="1"/>
    <col min="7174" max="7174" width="11.5703125" customWidth="1"/>
    <col min="7175" max="7175" width="11.85546875" customWidth="1"/>
    <col min="7176" max="7176" width="15.7109375" customWidth="1"/>
    <col min="7177" max="7177" width="1.5703125" customWidth="1"/>
    <col min="7178" max="7178" width="10.5703125" customWidth="1"/>
    <col min="7179" max="7179" width="20.7109375" customWidth="1"/>
    <col min="7180" max="7180" width="2" customWidth="1"/>
    <col min="7181" max="7181" width="10.140625" customWidth="1"/>
    <col min="7182" max="7182" width="13.7109375" customWidth="1"/>
    <col min="7183" max="7183" width="16.5703125" customWidth="1"/>
    <col min="7184" max="7184" width="16" customWidth="1"/>
    <col min="7185" max="7394" width="9.42578125" customWidth="1"/>
    <col min="7395" max="7395" width="7.140625" customWidth="1"/>
    <col min="7396" max="7396" width="35.28515625" customWidth="1"/>
    <col min="7397" max="7397" width="6.7109375" customWidth="1"/>
    <col min="7398" max="7398" width="5.7109375" customWidth="1"/>
    <col min="7399" max="7399" width="5.85546875" customWidth="1"/>
    <col min="7400" max="7400" width="7.85546875" customWidth="1"/>
    <col min="7407" max="7407" width="7.140625" customWidth="1"/>
    <col min="7408" max="7408" width="39.42578125" customWidth="1"/>
    <col min="7409" max="7409" width="6.7109375" customWidth="1"/>
    <col min="7410" max="7410" width="5.7109375" customWidth="1"/>
    <col min="7411" max="7411" width="5.85546875" customWidth="1"/>
    <col min="7412" max="7412" width="7.85546875" customWidth="1"/>
    <col min="7413" max="7413" width="14.28515625" customWidth="1"/>
    <col min="7414" max="7414" width="14" customWidth="1"/>
    <col min="7415" max="7429" width="0" hidden="1" customWidth="1"/>
    <col min="7430" max="7430" width="11.5703125" customWidth="1"/>
    <col min="7431" max="7431" width="11.85546875" customWidth="1"/>
    <col min="7432" max="7432" width="15.7109375" customWidth="1"/>
    <col min="7433" max="7433" width="1.5703125" customWidth="1"/>
    <col min="7434" max="7434" width="10.5703125" customWidth="1"/>
    <col min="7435" max="7435" width="20.7109375" customWidth="1"/>
    <col min="7436" max="7436" width="2" customWidth="1"/>
    <col min="7437" max="7437" width="10.140625" customWidth="1"/>
    <col min="7438" max="7438" width="13.7109375" customWidth="1"/>
    <col min="7439" max="7439" width="16.5703125" customWidth="1"/>
    <col min="7440" max="7440" width="16" customWidth="1"/>
    <col min="7441" max="7650" width="9.42578125" customWidth="1"/>
    <col min="7651" max="7651" width="7.140625" customWidth="1"/>
    <col min="7652" max="7652" width="35.28515625" customWidth="1"/>
    <col min="7653" max="7653" width="6.7109375" customWidth="1"/>
    <col min="7654" max="7654" width="5.7109375" customWidth="1"/>
    <col min="7655" max="7655" width="5.85546875" customWidth="1"/>
    <col min="7656" max="7656" width="7.85546875" customWidth="1"/>
    <col min="7663" max="7663" width="7.140625" customWidth="1"/>
    <col min="7664" max="7664" width="39.42578125" customWidth="1"/>
    <col min="7665" max="7665" width="6.7109375" customWidth="1"/>
    <col min="7666" max="7666" width="5.7109375" customWidth="1"/>
    <col min="7667" max="7667" width="5.85546875" customWidth="1"/>
    <col min="7668" max="7668" width="7.85546875" customWidth="1"/>
    <col min="7669" max="7669" width="14.28515625" customWidth="1"/>
    <col min="7670" max="7670" width="14" customWidth="1"/>
    <col min="7671" max="7685" width="0" hidden="1" customWidth="1"/>
    <col min="7686" max="7686" width="11.5703125" customWidth="1"/>
    <col min="7687" max="7687" width="11.85546875" customWidth="1"/>
    <col min="7688" max="7688" width="15.7109375" customWidth="1"/>
    <col min="7689" max="7689" width="1.5703125" customWidth="1"/>
    <col min="7690" max="7690" width="10.5703125" customWidth="1"/>
    <col min="7691" max="7691" width="20.7109375" customWidth="1"/>
    <col min="7692" max="7692" width="2" customWidth="1"/>
    <col min="7693" max="7693" width="10.140625" customWidth="1"/>
    <col min="7694" max="7694" width="13.7109375" customWidth="1"/>
    <col min="7695" max="7695" width="16.5703125" customWidth="1"/>
    <col min="7696" max="7696" width="16" customWidth="1"/>
    <col min="7697" max="7906" width="9.42578125" customWidth="1"/>
    <col min="7907" max="7907" width="7.140625" customWidth="1"/>
    <col min="7908" max="7908" width="35.28515625" customWidth="1"/>
    <col min="7909" max="7909" width="6.7109375" customWidth="1"/>
    <col min="7910" max="7910" width="5.7109375" customWidth="1"/>
    <col min="7911" max="7911" width="5.85546875" customWidth="1"/>
    <col min="7912" max="7912" width="7.85546875" customWidth="1"/>
    <col min="7919" max="7919" width="7.140625" customWidth="1"/>
    <col min="7920" max="7920" width="39.42578125" customWidth="1"/>
    <col min="7921" max="7921" width="6.7109375" customWidth="1"/>
    <col min="7922" max="7922" width="5.7109375" customWidth="1"/>
    <col min="7923" max="7923" width="5.85546875" customWidth="1"/>
    <col min="7924" max="7924" width="7.85546875" customWidth="1"/>
    <col min="7925" max="7925" width="14.28515625" customWidth="1"/>
    <col min="7926" max="7926" width="14" customWidth="1"/>
    <col min="7927" max="7941" width="0" hidden="1" customWidth="1"/>
    <col min="7942" max="7942" width="11.5703125" customWidth="1"/>
    <col min="7943" max="7943" width="11.85546875" customWidth="1"/>
    <col min="7944" max="7944" width="15.7109375" customWidth="1"/>
    <col min="7945" max="7945" width="1.5703125" customWidth="1"/>
    <col min="7946" max="7946" width="10.5703125" customWidth="1"/>
    <col min="7947" max="7947" width="20.7109375" customWidth="1"/>
    <col min="7948" max="7948" width="2" customWidth="1"/>
    <col min="7949" max="7949" width="10.140625" customWidth="1"/>
    <col min="7950" max="7950" width="13.7109375" customWidth="1"/>
    <col min="7951" max="7951" width="16.5703125" customWidth="1"/>
    <col min="7952" max="7952" width="16" customWidth="1"/>
    <col min="7953" max="8162" width="9.42578125" customWidth="1"/>
    <col min="8163" max="8163" width="7.140625" customWidth="1"/>
    <col min="8164" max="8164" width="35.28515625" customWidth="1"/>
    <col min="8165" max="8165" width="6.7109375" customWidth="1"/>
    <col min="8166" max="8166" width="5.7109375" customWidth="1"/>
    <col min="8167" max="8167" width="5.85546875" customWidth="1"/>
    <col min="8168" max="8168" width="7.85546875" customWidth="1"/>
    <col min="8175" max="8175" width="7.140625" customWidth="1"/>
    <col min="8176" max="8176" width="39.42578125" customWidth="1"/>
    <col min="8177" max="8177" width="6.7109375" customWidth="1"/>
    <col min="8178" max="8178" width="5.7109375" customWidth="1"/>
    <col min="8179" max="8179" width="5.85546875" customWidth="1"/>
    <col min="8180" max="8180" width="7.85546875" customWidth="1"/>
    <col min="8181" max="8181" width="14.28515625" customWidth="1"/>
    <col min="8182" max="8182" width="14" customWidth="1"/>
    <col min="8183" max="8197" width="0" hidden="1" customWidth="1"/>
    <col min="8198" max="8198" width="11.5703125" customWidth="1"/>
    <col min="8199" max="8199" width="11.85546875" customWidth="1"/>
    <col min="8200" max="8200" width="15.7109375" customWidth="1"/>
    <col min="8201" max="8201" width="1.5703125" customWidth="1"/>
    <col min="8202" max="8202" width="10.5703125" customWidth="1"/>
    <col min="8203" max="8203" width="20.7109375" customWidth="1"/>
    <col min="8204" max="8204" width="2" customWidth="1"/>
    <col min="8205" max="8205" width="10.140625" customWidth="1"/>
    <col min="8206" max="8206" width="13.7109375" customWidth="1"/>
    <col min="8207" max="8207" width="16.5703125" customWidth="1"/>
    <col min="8208" max="8208" width="16" customWidth="1"/>
    <col min="8209" max="8418" width="9.42578125" customWidth="1"/>
    <col min="8419" max="8419" width="7.140625" customWidth="1"/>
    <col min="8420" max="8420" width="35.28515625" customWidth="1"/>
    <col min="8421" max="8421" width="6.7109375" customWidth="1"/>
    <col min="8422" max="8422" width="5.7109375" customWidth="1"/>
    <col min="8423" max="8423" width="5.85546875" customWidth="1"/>
    <col min="8424" max="8424" width="7.85546875" customWidth="1"/>
    <col min="8431" max="8431" width="7.140625" customWidth="1"/>
    <col min="8432" max="8432" width="39.42578125" customWidth="1"/>
    <col min="8433" max="8433" width="6.7109375" customWidth="1"/>
    <col min="8434" max="8434" width="5.7109375" customWidth="1"/>
    <col min="8435" max="8435" width="5.85546875" customWidth="1"/>
    <col min="8436" max="8436" width="7.85546875" customWidth="1"/>
    <col min="8437" max="8437" width="14.28515625" customWidth="1"/>
    <col min="8438" max="8438" width="14" customWidth="1"/>
    <col min="8439" max="8453" width="0" hidden="1" customWidth="1"/>
    <col min="8454" max="8454" width="11.5703125" customWidth="1"/>
    <col min="8455" max="8455" width="11.85546875" customWidth="1"/>
    <col min="8456" max="8456" width="15.7109375" customWidth="1"/>
    <col min="8457" max="8457" width="1.5703125" customWidth="1"/>
    <col min="8458" max="8458" width="10.5703125" customWidth="1"/>
    <col min="8459" max="8459" width="20.7109375" customWidth="1"/>
    <col min="8460" max="8460" width="2" customWidth="1"/>
    <col min="8461" max="8461" width="10.140625" customWidth="1"/>
    <col min="8462" max="8462" width="13.7109375" customWidth="1"/>
    <col min="8463" max="8463" width="16.5703125" customWidth="1"/>
    <col min="8464" max="8464" width="16" customWidth="1"/>
    <col min="8465" max="8674" width="9.42578125" customWidth="1"/>
    <col min="8675" max="8675" width="7.140625" customWidth="1"/>
    <col min="8676" max="8676" width="35.28515625" customWidth="1"/>
    <col min="8677" max="8677" width="6.7109375" customWidth="1"/>
    <col min="8678" max="8678" width="5.7109375" customWidth="1"/>
    <col min="8679" max="8679" width="5.85546875" customWidth="1"/>
    <col min="8680" max="8680" width="7.85546875" customWidth="1"/>
    <col min="8687" max="8687" width="7.140625" customWidth="1"/>
    <col min="8688" max="8688" width="39.42578125" customWidth="1"/>
    <col min="8689" max="8689" width="6.7109375" customWidth="1"/>
    <col min="8690" max="8690" width="5.7109375" customWidth="1"/>
    <col min="8691" max="8691" width="5.85546875" customWidth="1"/>
    <col min="8692" max="8692" width="7.85546875" customWidth="1"/>
    <col min="8693" max="8693" width="14.28515625" customWidth="1"/>
    <col min="8694" max="8694" width="14" customWidth="1"/>
    <col min="8695" max="8709" width="0" hidden="1" customWidth="1"/>
    <col min="8710" max="8710" width="11.5703125" customWidth="1"/>
    <col min="8711" max="8711" width="11.85546875" customWidth="1"/>
    <col min="8712" max="8712" width="15.7109375" customWidth="1"/>
    <col min="8713" max="8713" width="1.5703125" customWidth="1"/>
    <col min="8714" max="8714" width="10.5703125" customWidth="1"/>
    <col min="8715" max="8715" width="20.7109375" customWidth="1"/>
    <col min="8716" max="8716" width="2" customWidth="1"/>
    <col min="8717" max="8717" width="10.140625" customWidth="1"/>
    <col min="8718" max="8718" width="13.7109375" customWidth="1"/>
    <col min="8719" max="8719" width="16.5703125" customWidth="1"/>
    <col min="8720" max="8720" width="16" customWidth="1"/>
    <col min="8721" max="8930" width="9.42578125" customWidth="1"/>
    <col min="8931" max="8931" width="7.140625" customWidth="1"/>
    <col min="8932" max="8932" width="35.28515625" customWidth="1"/>
    <col min="8933" max="8933" width="6.7109375" customWidth="1"/>
    <col min="8934" max="8934" width="5.7109375" customWidth="1"/>
    <col min="8935" max="8935" width="5.85546875" customWidth="1"/>
    <col min="8936" max="8936" width="7.85546875" customWidth="1"/>
    <col min="8943" max="8943" width="7.140625" customWidth="1"/>
    <col min="8944" max="8944" width="39.42578125" customWidth="1"/>
    <col min="8945" max="8945" width="6.7109375" customWidth="1"/>
    <col min="8946" max="8946" width="5.7109375" customWidth="1"/>
    <col min="8947" max="8947" width="5.85546875" customWidth="1"/>
    <col min="8948" max="8948" width="7.85546875" customWidth="1"/>
    <col min="8949" max="8949" width="14.28515625" customWidth="1"/>
    <col min="8950" max="8950" width="14" customWidth="1"/>
    <col min="8951" max="8965" width="0" hidden="1" customWidth="1"/>
    <col min="8966" max="8966" width="11.5703125" customWidth="1"/>
    <col min="8967" max="8967" width="11.85546875" customWidth="1"/>
    <col min="8968" max="8968" width="15.7109375" customWidth="1"/>
    <col min="8969" max="8969" width="1.5703125" customWidth="1"/>
    <col min="8970" max="8970" width="10.5703125" customWidth="1"/>
    <col min="8971" max="8971" width="20.7109375" customWidth="1"/>
    <col min="8972" max="8972" width="2" customWidth="1"/>
    <col min="8973" max="8973" width="10.140625" customWidth="1"/>
    <col min="8974" max="8974" width="13.7109375" customWidth="1"/>
    <col min="8975" max="8975" width="16.5703125" customWidth="1"/>
    <col min="8976" max="8976" width="16" customWidth="1"/>
    <col min="8977" max="9186" width="9.42578125" customWidth="1"/>
    <col min="9187" max="9187" width="7.140625" customWidth="1"/>
    <col min="9188" max="9188" width="35.28515625" customWidth="1"/>
    <col min="9189" max="9189" width="6.7109375" customWidth="1"/>
    <col min="9190" max="9190" width="5.7109375" customWidth="1"/>
    <col min="9191" max="9191" width="5.85546875" customWidth="1"/>
    <col min="9192" max="9192" width="7.85546875" customWidth="1"/>
    <col min="9199" max="9199" width="7.140625" customWidth="1"/>
    <col min="9200" max="9200" width="39.42578125" customWidth="1"/>
    <col min="9201" max="9201" width="6.7109375" customWidth="1"/>
    <col min="9202" max="9202" width="5.7109375" customWidth="1"/>
    <col min="9203" max="9203" width="5.85546875" customWidth="1"/>
    <col min="9204" max="9204" width="7.85546875" customWidth="1"/>
    <col min="9205" max="9205" width="14.28515625" customWidth="1"/>
    <col min="9206" max="9206" width="14" customWidth="1"/>
    <col min="9207" max="9221" width="0" hidden="1" customWidth="1"/>
    <col min="9222" max="9222" width="11.5703125" customWidth="1"/>
    <col min="9223" max="9223" width="11.85546875" customWidth="1"/>
    <col min="9224" max="9224" width="15.7109375" customWidth="1"/>
    <col min="9225" max="9225" width="1.5703125" customWidth="1"/>
    <col min="9226" max="9226" width="10.5703125" customWidth="1"/>
    <col min="9227" max="9227" width="20.7109375" customWidth="1"/>
    <col min="9228" max="9228" width="2" customWidth="1"/>
    <col min="9229" max="9229" width="10.140625" customWidth="1"/>
    <col min="9230" max="9230" width="13.7109375" customWidth="1"/>
    <col min="9231" max="9231" width="16.5703125" customWidth="1"/>
    <col min="9232" max="9232" width="16" customWidth="1"/>
    <col min="9233" max="9442" width="9.42578125" customWidth="1"/>
    <col min="9443" max="9443" width="7.140625" customWidth="1"/>
    <col min="9444" max="9444" width="35.28515625" customWidth="1"/>
    <col min="9445" max="9445" width="6.7109375" customWidth="1"/>
    <col min="9446" max="9446" width="5.7109375" customWidth="1"/>
    <col min="9447" max="9447" width="5.85546875" customWidth="1"/>
    <col min="9448" max="9448" width="7.85546875" customWidth="1"/>
    <col min="9455" max="9455" width="7.140625" customWidth="1"/>
    <col min="9456" max="9456" width="39.42578125" customWidth="1"/>
    <col min="9457" max="9457" width="6.7109375" customWidth="1"/>
    <col min="9458" max="9458" width="5.7109375" customWidth="1"/>
    <col min="9459" max="9459" width="5.85546875" customWidth="1"/>
    <col min="9460" max="9460" width="7.85546875" customWidth="1"/>
    <col min="9461" max="9461" width="14.28515625" customWidth="1"/>
    <col min="9462" max="9462" width="14" customWidth="1"/>
    <col min="9463" max="9477" width="0" hidden="1" customWidth="1"/>
    <col min="9478" max="9478" width="11.5703125" customWidth="1"/>
    <col min="9479" max="9479" width="11.85546875" customWidth="1"/>
    <col min="9480" max="9480" width="15.7109375" customWidth="1"/>
    <col min="9481" max="9481" width="1.5703125" customWidth="1"/>
    <col min="9482" max="9482" width="10.5703125" customWidth="1"/>
    <col min="9483" max="9483" width="20.7109375" customWidth="1"/>
    <col min="9484" max="9484" width="2" customWidth="1"/>
    <col min="9485" max="9485" width="10.140625" customWidth="1"/>
    <col min="9486" max="9486" width="13.7109375" customWidth="1"/>
    <col min="9487" max="9487" width="16.5703125" customWidth="1"/>
    <col min="9488" max="9488" width="16" customWidth="1"/>
    <col min="9489" max="9698" width="9.42578125" customWidth="1"/>
    <col min="9699" max="9699" width="7.140625" customWidth="1"/>
    <col min="9700" max="9700" width="35.28515625" customWidth="1"/>
    <col min="9701" max="9701" width="6.7109375" customWidth="1"/>
    <col min="9702" max="9702" width="5.7109375" customWidth="1"/>
    <col min="9703" max="9703" width="5.85546875" customWidth="1"/>
    <col min="9704" max="9704" width="7.85546875" customWidth="1"/>
    <col min="9711" max="9711" width="7.140625" customWidth="1"/>
    <col min="9712" max="9712" width="39.42578125" customWidth="1"/>
    <col min="9713" max="9713" width="6.7109375" customWidth="1"/>
    <col min="9714" max="9714" width="5.7109375" customWidth="1"/>
    <col min="9715" max="9715" width="5.85546875" customWidth="1"/>
    <col min="9716" max="9716" width="7.85546875" customWidth="1"/>
    <col min="9717" max="9717" width="14.28515625" customWidth="1"/>
    <col min="9718" max="9718" width="14" customWidth="1"/>
    <col min="9719" max="9733" width="0" hidden="1" customWidth="1"/>
    <col min="9734" max="9734" width="11.5703125" customWidth="1"/>
    <col min="9735" max="9735" width="11.85546875" customWidth="1"/>
    <col min="9736" max="9736" width="15.7109375" customWidth="1"/>
    <col min="9737" max="9737" width="1.5703125" customWidth="1"/>
    <col min="9738" max="9738" width="10.5703125" customWidth="1"/>
    <col min="9739" max="9739" width="20.7109375" customWidth="1"/>
    <col min="9740" max="9740" width="2" customWidth="1"/>
    <col min="9741" max="9741" width="10.140625" customWidth="1"/>
    <col min="9742" max="9742" width="13.7109375" customWidth="1"/>
    <col min="9743" max="9743" width="16.5703125" customWidth="1"/>
    <col min="9744" max="9744" width="16" customWidth="1"/>
    <col min="9745" max="9954" width="9.42578125" customWidth="1"/>
    <col min="9955" max="9955" width="7.140625" customWidth="1"/>
    <col min="9956" max="9956" width="35.28515625" customWidth="1"/>
    <col min="9957" max="9957" width="6.7109375" customWidth="1"/>
    <col min="9958" max="9958" width="5.7109375" customWidth="1"/>
    <col min="9959" max="9959" width="5.85546875" customWidth="1"/>
    <col min="9960" max="9960" width="7.85546875" customWidth="1"/>
    <col min="9967" max="9967" width="7.140625" customWidth="1"/>
    <col min="9968" max="9968" width="39.42578125" customWidth="1"/>
    <col min="9969" max="9969" width="6.7109375" customWidth="1"/>
    <col min="9970" max="9970" width="5.7109375" customWidth="1"/>
    <col min="9971" max="9971" width="5.85546875" customWidth="1"/>
    <col min="9972" max="9972" width="7.85546875" customWidth="1"/>
    <col min="9973" max="9973" width="14.28515625" customWidth="1"/>
    <col min="9974" max="9974" width="14" customWidth="1"/>
    <col min="9975" max="9989" width="0" hidden="1" customWidth="1"/>
    <col min="9990" max="9990" width="11.5703125" customWidth="1"/>
    <col min="9991" max="9991" width="11.85546875" customWidth="1"/>
    <col min="9992" max="9992" width="15.7109375" customWidth="1"/>
    <col min="9993" max="9993" width="1.5703125" customWidth="1"/>
    <col min="9994" max="9994" width="10.5703125" customWidth="1"/>
    <col min="9995" max="9995" width="20.7109375" customWidth="1"/>
    <col min="9996" max="9996" width="2" customWidth="1"/>
    <col min="9997" max="9997" width="10.140625" customWidth="1"/>
    <col min="9998" max="9998" width="13.7109375" customWidth="1"/>
    <col min="9999" max="9999" width="16.5703125" customWidth="1"/>
    <col min="10000" max="10000" width="16" customWidth="1"/>
    <col min="10001" max="10210" width="9.42578125" customWidth="1"/>
    <col min="10211" max="10211" width="7.140625" customWidth="1"/>
    <col min="10212" max="10212" width="35.28515625" customWidth="1"/>
    <col min="10213" max="10213" width="6.7109375" customWidth="1"/>
    <col min="10214" max="10214" width="5.7109375" customWidth="1"/>
    <col min="10215" max="10215" width="5.85546875" customWidth="1"/>
    <col min="10216" max="10216" width="7.85546875" customWidth="1"/>
    <col min="10223" max="10223" width="7.140625" customWidth="1"/>
    <col min="10224" max="10224" width="39.42578125" customWidth="1"/>
    <col min="10225" max="10225" width="6.7109375" customWidth="1"/>
    <col min="10226" max="10226" width="5.7109375" customWidth="1"/>
    <col min="10227" max="10227" width="5.85546875" customWidth="1"/>
    <col min="10228" max="10228" width="7.85546875" customWidth="1"/>
    <col min="10229" max="10229" width="14.28515625" customWidth="1"/>
    <col min="10230" max="10230" width="14" customWidth="1"/>
    <col min="10231" max="10245" width="0" hidden="1" customWidth="1"/>
    <col min="10246" max="10246" width="11.5703125" customWidth="1"/>
    <col min="10247" max="10247" width="11.85546875" customWidth="1"/>
    <col min="10248" max="10248" width="15.7109375" customWidth="1"/>
    <col min="10249" max="10249" width="1.5703125" customWidth="1"/>
    <col min="10250" max="10250" width="10.5703125" customWidth="1"/>
    <col min="10251" max="10251" width="20.7109375" customWidth="1"/>
    <col min="10252" max="10252" width="2" customWidth="1"/>
    <col min="10253" max="10253" width="10.140625" customWidth="1"/>
    <col min="10254" max="10254" width="13.7109375" customWidth="1"/>
    <col min="10255" max="10255" width="16.5703125" customWidth="1"/>
    <col min="10256" max="10256" width="16" customWidth="1"/>
    <col min="10257" max="10466" width="9.42578125" customWidth="1"/>
    <col min="10467" max="10467" width="7.140625" customWidth="1"/>
    <col min="10468" max="10468" width="35.28515625" customWidth="1"/>
    <col min="10469" max="10469" width="6.7109375" customWidth="1"/>
    <col min="10470" max="10470" width="5.7109375" customWidth="1"/>
    <col min="10471" max="10471" width="5.85546875" customWidth="1"/>
    <col min="10472" max="10472" width="7.85546875" customWidth="1"/>
    <col min="10479" max="10479" width="7.140625" customWidth="1"/>
    <col min="10480" max="10480" width="39.42578125" customWidth="1"/>
    <col min="10481" max="10481" width="6.7109375" customWidth="1"/>
    <col min="10482" max="10482" width="5.7109375" customWidth="1"/>
    <col min="10483" max="10483" width="5.85546875" customWidth="1"/>
    <col min="10484" max="10484" width="7.85546875" customWidth="1"/>
    <col min="10485" max="10485" width="14.28515625" customWidth="1"/>
    <col min="10486" max="10486" width="14" customWidth="1"/>
    <col min="10487" max="10501" width="0" hidden="1" customWidth="1"/>
    <col min="10502" max="10502" width="11.5703125" customWidth="1"/>
    <col min="10503" max="10503" width="11.85546875" customWidth="1"/>
    <col min="10504" max="10504" width="15.7109375" customWidth="1"/>
    <col min="10505" max="10505" width="1.5703125" customWidth="1"/>
    <col min="10506" max="10506" width="10.5703125" customWidth="1"/>
    <col min="10507" max="10507" width="20.7109375" customWidth="1"/>
    <col min="10508" max="10508" width="2" customWidth="1"/>
    <col min="10509" max="10509" width="10.140625" customWidth="1"/>
    <col min="10510" max="10510" width="13.7109375" customWidth="1"/>
    <col min="10511" max="10511" width="16.5703125" customWidth="1"/>
    <col min="10512" max="10512" width="16" customWidth="1"/>
    <col min="10513" max="10722" width="9.42578125" customWidth="1"/>
    <col min="10723" max="10723" width="7.140625" customWidth="1"/>
    <col min="10724" max="10724" width="35.28515625" customWidth="1"/>
    <col min="10725" max="10725" width="6.7109375" customWidth="1"/>
    <col min="10726" max="10726" width="5.7109375" customWidth="1"/>
    <col min="10727" max="10727" width="5.85546875" customWidth="1"/>
    <col min="10728" max="10728" width="7.85546875" customWidth="1"/>
    <col min="10735" max="10735" width="7.140625" customWidth="1"/>
    <col min="10736" max="10736" width="39.42578125" customWidth="1"/>
    <col min="10737" max="10737" width="6.7109375" customWidth="1"/>
    <col min="10738" max="10738" width="5.7109375" customWidth="1"/>
    <col min="10739" max="10739" width="5.85546875" customWidth="1"/>
    <col min="10740" max="10740" width="7.85546875" customWidth="1"/>
    <col min="10741" max="10741" width="14.28515625" customWidth="1"/>
    <col min="10742" max="10742" width="14" customWidth="1"/>
    <col min="10743" max="10757" width="0" hidden="1" customWidth="1"/>
    <col min="10758" max="10758" width="11.5703125" customWidth="1"/>
    <col min="10759" max="10759" width="11.85546875" customWidth="1"/>
    <col min="10760" max="10760" width="15.7109375" customWidth="1"/>
    <col min="10761" max="10761" width="1.5703125" customWidth="1"/>
    <col min="10762" max="10762" width="10.5703125" customWidth="1"/>
    <col min="10763" max="10763" width="20.7109375" customWidth="1"/>
    <col min="10764" max="10764" width="2" customWidth="1"/>
    <col min="10765" max="10765" width="10.140625" customWidth="1"/>
    <col min="10766" max="10766" width="13.7109375" customWidth="1"/>
    <col min="10767" max="10767" width="16.5703125" customWidth="1"/>
    <col min="10768" max="10768" width="16" customWidth="1"/>
    <col min="10769" max="10978" width="9.42578125" customWidth="1"/>
    <col min="10979" max="10979" width="7.140625" customWidth="1"/>
    <col min="10980" max="10980" width="35.28515625" customWidth="1"/>
    <col min="10981" max="10981" width="6.7109375" customWidth="1"/>
    <col min="10982" max="10982" width="5.7109375" customWidth="1"/>
    <col min="10983" max="10983" width="5.85546875" customWidth="1"/>
    <col min="10984" max="10984" width="7.85546875" customWidth="1"/>
    <col min="10991" max="10991" width="7.140625" customWidth="1"/>
    <col min="10992" max="10992" width="39.42578125" customWidth="1"/>
    <col min="10993" max="10993" width="6.7109375" customWidth="1"/>
    <col min="10994" max="10994" width="5.7109375" customWidth="1"/>
    <col min="10995" max="10995" width="5.85546875" customWidth="1"/>
    <col min="10996" max="10996" width="7.85546875" customWidth="1"/>
    <col min="10997" max="10997" width="14.28515625" customWidth="1"/>
    <col min="10998" max="10998" width="14" customWidth="1"/>
    <col min="10999" max="11013" width="0" hidden="1" customWidth="1"/>
    <col min="11014" max="11014" width="11.5703125" customWidth="1"/>
    <col min="11015" max="11015" width="11.85546875" customWidth="1"/>
    <col min="11016" max="11016" width="15.7109375" customWidth="1"/>
    <col min="11017" max="11017" width="1.5703125" customWidth="1"/>
    <col min="11018" max="11018" width="10.5703125" customWidth="1"/>
    <col min="11019" max="11019" width="20.7109375" customWidth="1"/>
    <col min="11020" max="11020" width="2" customWidth="1"/>
    <col min="11021" max="11021" width="10.140625" customWidth="1"/>
    <col min="11022" max="11022" width="13.7109375" customWidth="1"/>
    <col min="11023" max="11023" width="16.5703125" customWidth="1"/>
    <col min="11024" max="11024" width="16" customWidth="1"/>
    <col min="11025" max="11234" width="9.42578125" customWidth="1"/>
    <col min="11235" max="11235" width="7.140625" customWidth="1"/>
    <col min="11236" max="11236" width="35.28515625" customWidth="1"/>
    <col min="11237" max="11237" width="6.7109375" customWidth="1"/>
    <col min="11238" max="11238" width="5.7109375" customWidth="1"/>
    <col min="11239" max="11239" width="5.85546875" customWidth="1"/>
    <col min="11240" max="11240" width="7.85546875" customWidth="1"/>
    <col min="11247" max="11247" width="7.140625" customWidth="1"/>
    <col min="11248" max="11248" width="39.42578125" customWidth="1"/>
    <col min="11249" max="11249" width="6.7109375" customWidth="1"/>
    <col min="11250" max="11250" width="5.7109375" customWidth="1"/>
    <col min="11251" max="11251" width="5.85546875" customWidth="1"/>
    <col min="11252" max="11252" width="7.85546875" customWidth="1"/>
    <col min="11253" max="11253" width="14.28515625" customWidth="1"/>
    <col min="11254" max="11254" width="14" customWidth="1"/>
    <col min="11255" max="11269" width="0" hidden="1" customWidth="1"/>
    <col min="11270" max="11270" width="11.5703125" customWidth="1"/>
    <col min="11271" max="11271" width="11.85546875" customWidth="1"/>
    <col min="11272" max="11272" width="15.7109375" customWidth="1"/>
    <col min="11273" max="11273" width="1.5703125" customWidth="1"/>
    <col min="11274" max="11274" width="10.5703125" customWidth="1"/>
    <col min="11275" max="11275" width="20.7109375" customWidth="1"/>
    <col min="11276" max="11276" width="2" customWidth="1"/>
    <col min="11277" max="11277" width="10.140625" customWidth="1"/>
    <col min="11278" max="11278" width="13.7109375" customWidth="1"/>
    <col min="11279" max="11279" width="16.5703125" customWidth="1"/>
    <col min="11280" max="11280" width="16" customWidth="1"/>
    <col min="11281" max="11490" width="9.42578125" customWidth="1"/>
    <col min="11491" max="11491" width="7.140625" customWidth="1"/>
    <col min="11492" max="11492" width="35.28515625" customWidth="1"/>
    <col min="11493" max="11493" width="6.7109375" customWidth="1"/>
    <col min="11494" max="11494" width="5.7109375" customWidth="1"/>
    <col min="11495" max="11495" width="5.85546875" customWidth="1"/>
    <col min="11496" max="11496" width="7.85546875" customWidth="1"/>
    <col min="11503" max="11503" width="7.140625" customWidth="1"/>
    <col min="11504" max="11504" width="39.42578125" customWidth="1"/>
    <col min="11505" max="11505" width="6.7109375" customWidth="1"/>
    <col min="11506" max="11506" width="5.7109375" customWidth="1"/>
    <col min="11507" max="11507" width="5.85546875" customWidth="1"/>
    <col min="11508" max="11508" width="7.85546875" customWidth="1"/>
    <col min="11509" max="11509" width="14.28515625" customWidth="1"/>
    <col min="11510" max="11510" width="14" customWidth="1"/>
    <col min="11511" max="11525" width="0" hidden="1" customWidth="1"/>
    <col min="11526" max="11526" width="11.5703125" customWidth="1"/>
    <col min="11527" max="11527" width="11.85546875" customWidth="1"/>
    <col min="11528" max="11528" width="15.7109375" customWidth="1"/>
    <col min="11529" max="11529" width="1.5703125" customWidth="1"/>
    <col min="11530" max="11530" width="10.5703125" customWidth="1"/>
    <col min="11531" max="11531" width="20.7109375" customWidth="1"/>
    <col min="11532" max="11532" width="2" customWidth="1"/>
    <col min="11533" max="11533" width="10.140625" customWidth="1"/>
    <col min="11534" max="11534" width="13.7109375" customWidth="1"/>
    <col min="11535" max="11535" width="16.5703125" customWidth="1"/>
    <col min="11536" max="11536" width="16" customWidth="1"/>
    <col min="11537" max="11746" width="9.42578125" customWidth="1"/>
    <col min="11747" max="11747" width="7.140625" customWidth="1"/>
    <col min="11748" max="11748" width="35.28515625" customWidth="1"/>
    <col min="11749" max="11749" width="6.7109375" customWidth="1"/>
    <col min="11750" max="11750" width="5.7109375" customWidth="1"/>
    <col min="11751" max="11751" width="5.85546875" customWidth="1"/>
    <col min="11752" max="11752" width="7.85546875" customWidth="1"/>
    <col min="11759" max="11759" width="7.140625" customWidth="1"/>
    <col min="11760" max="11760" width="39.42578125" customWidth="1"/>
    <col min="11761" max="11761" width="6.7109375" customWidth="1"/>
    <col min="11762" max="11762" width="5.7109375" customWidth="1"/>
    <col min="11763" max="11763" width="5.85546875" customWidth="1"/>
    <col min="11764" max="11764" width="7.85546875" customWidth="1"/>
    <col min="11765" max="11765" width="14.28515625" customWidth="1"/>
    <col min="11766" max="11766" width="14" customWidth="1"/>
    <col min="11767" max="11781" width="0" hidden="1" customWidth="1"/>
    <col min="11782" max="11782" width="11.5703125" customWidth="1"/>
    <col min="11783" max="11783" width="11.85546875" customWidth="1"/>
    <col min="11784" max="11784" width="15.7109375" customWidth="1"/>
    <col min="11785" max="11785" width="1.5703125" customWidth="1"/>
    <col min="11786" max="11786" width="10.5703125" customWidth="1"/>
    <col min="11787" max="11787" width="20.7109375" customWidth="1"/>
    <col min="11788" max="11788" width="2" customWidth="1"/>
    <col min="11789" max="11789" width="10.140625" customWidth="1"/>
    <col min="11790" max="11790" width="13.7109375" customWidth="1"/>
    <col min="11791" max="11791" width="16.5703125" customWidth="1"/>
    <col min="11792" max="11792" width="16" customWidth="1"/>
    <col min="11793" max="12002" width="9.42578125" customWidth="1"/>
    <col min="12003" max="12003" width="7.140625" customWidth="1"/>
    <col min="12004" max="12004" width="35.28515625" customWidth="1"/>
    <col min="12005" max="12005" width="6.7109375" customWidth="1"/>
    <col min="12006" max="12006" width="5.7109375" customWidth="1"/>
    <col min="12007" max="12007" width="5.85546875" customWidth="1"/>
    <col min="12008" max="12008" width="7.85546875" customWidth="1"/>
    <col min="12015" max="12015" width="7.140625" customWidth="1"/>
    <col min="12016" max="12016" width="39.42578125" customWidth="1"/>
    <col min="12017" max="12017" width="6.7109375" customWidth="1"/>
    <col min="12018" max="12018" width="5.7109375" customWidth="1"/>
    <col min="12019" max="12019" width="5.85546875" customWidth="1"/>
    <col min="12020" max="12020" width="7.85546875" customWidth="1"/>
    <col min="12021" max="12021" width="14.28515625" customWidth="1"/>
    <col min="12022" max="12022" width="14" customWidth="1"/>
    <col min="12023" max="12037" width="0" hidden="1" customWidth="1"/>
    <col min="12038" max="12038" width="11.5703125" customWidth="1"/>
    <col min="12039" max="12039" width="11.85546875" customWidth="1"/>
    <col min="12040" max="12040" width="15.7109375" customWidth="1"/>
    <col min="12041" max="12041" width="1.5703125" customWidth="1"/>
    <col min="12042" max="12042" width="10.5703125" customWidth="1"/>
    <col min="12043" max="12043" width="20.7109375" customWidth="1"/>
    <col min="12044" max="12044" width="2" customWidth="1"/>
    <col min="12045" max="12045" width="10.140625" customWidth="1"/>
    <col min="12046" max="12046" width="13.7109375" customWidth="1"/>
    <col min="12047" max="12047" width="16.5703125" customWidth="1"/>
    <col min="12048" max="12048" width="16" customWidth="1"/>
    <col min="12049" max="12258" width="9.42578125" customWidth="1"/>
    <col min="12259" max="12259" width="7.140625" customWidth="1"/>
    <col min="12260" max="12260" width="35.28515625" customWidth="1"/>
    <col min="12261" max="12261" width="6.7109375" customWidth="1"/>
    <col min="12262" max="12262" width="5.7109375" customWidth="1"/>
    <col min="12263" max="12263" width="5.85546875" customWidth="1"/>
    <col min="12264" max="12264" width="7.85546875" customWidth="1"/>
    <col min="12271" max="12271" width="7.140625" customWidth="1"/>
    <col min="12272" max="12272" width="39.42578125" customWidth="1"/>
    <col min="12273" max="12273" width="6.7109375" customWidth="1"/>
    <col min="12274" max="12274" width="5.7109375" customWidth="1"/>
    <col min="12275" max="12275" width="5.85546875" customWidth="1"/>
    <col min="12276" max="12276" width="7.85546875" customWidth="1"/>
    <col min="12277" max="12277" width="14.28515625" customWidth="1"/>
    <col min="12278" max="12278" width="14" customWidth="1"/>
    <col min="12279" max="12293" width="0" hidden="1" customWidth="1"/>
    <col min="12294" max="12294" width="11.5703125" customWidth="1"/>
    <col min="12295" max="12295" width="11.85546875" customWidth="1"/>
    <col min="12296" max="12296" width="15.7109375" customWidth="1"/>
    <col min="12297" max="12297" width="1.5703125" customWidth="1"/>
    <col min="12298" max="12298" width="10.5703125" customWidth="1"/>
    <col min="12299" max="12299" width="20.7109375" customWidth="1"/>
    <col min="12300" max="12300" width="2" customWidth="1"/>
    <col min="12301" max="12301" width="10.140625" customWidth="1"/>
    <col min="12302" max="12302" width="13.7109375" customWidth="1"/>
    <col min="12303" max="12303" width="16.5703125" customWidth="1"/>
    <col min="12304" max="12304" width="16" customWidth="1"/>
    <col min="12305" max="12514" width="9.42578125" customWidth="1"/>
    <col min="12515" max="12515" width="7.140625" customWidth="1"/>
    <col min="12516" max="12516" width="35.28515625" customWidth="1"/>
    <col min="12517" max="12517" width="6.7109375" customWidth="1"/>
    <col min="12518" max="12518" width="5.7109375" customWidth="1"/>
    <col min="12519" max="12519" width="5.85546875" customWidth="1"/>
    <col min="12520" max="12520" width="7.85546875" customWidth="1"/>
    <col min="12527" max="12527" width="7.140625" customWidth="1"/>
    <col min="12528" max="12528" width="39.42578125" customWidth="1"/>
    <col min="12529" max="12529" width="6.7109375" customWidth="1"/>
    <col min="12530" max="12530" width="5.7109375" customWidth="1"/>
    <col min="12531" max="12531" width="5.85546875" customWidth="1"/>
    <col min="12532" max="12532" width="7.85546875" customWidth="1"/>
    <col min="12533" max="12533" width="14.28515625" customWidth="1"/>
    <col min="12534" max="12534" width="14" customWidth="1"/>
    <col min="12535" max="12549" width="0" hidden="1" customWidth="1"/>
    <col min="12550" max="12550" width="11.5703125" customWidth="1"/>
    <col min="12551" max="12551" width="11.85546875" customWidth="1"/>
    <col min="12552" max="12552" width="15.7109375" customWidth="1"/>
    <col min="12553" max="12553" width="1.5703125" customWidth="1"/>
    <col min="12554" max="12554" width="10.5703125" customWidth="1"/>
    <col min="12555" max="12555" width="20.7109375" customWidth="1"/>
    <col min="12556" max="12556" width="2" customWidth="1"/>
    <col min="12557" max="12557" width="10.140625" customWidth="1"/>
    <col min="12558" max="12558" width="13.7109375" customWidth="1"/>
    <col min="12559" max="12559" width="16.5703125" customWidth="1"/>
    <col min="12560" max="12560" width="16" customWidth="1"/>
    <col min="12561" max="12770" width="9.42578125" customWidth="1"/>
    <col min="12771" max="12771" width="7.140625" customWidth="1"/>
    <col min="12772" max="12772" width="35.28515625" customWidth="1"/>
    <col min="12773" max="12773" width="6.7109375" customWidth="1"/>
    <col min="12774" max="12774" width="5.7109375" customWidth="1"/>
    <col min="12775" max="12775" width="5.85546875" customWidth="1"/>
    <col min="12776" max="12776" width="7.85546875" customWidth="1"/>
    <col min="12783" max="12783" width="7.140625" customWidth="1"/>
    <col min="12784" max="12784" width="39.42578125" customWidth="1"/>
    <col min="12785" max="12785" width="6.7109375" customWidth="1"/>
    <col min="12786" max="12786" width="5.7109375" customWidth="1"/>
    <col min="12787" max="12787" width="5.85546875" customWidth="1"/>
    <col min="12788" max="12788" width="7.85546875" customWidth="1"/>
    <col min="12789" max="12789" width="14.28515625" customWidth="1"/>
    <col min="12790" max="12790" width="14" customWidth="1"/>
    <col min="12791" max="12805" width="0" hidden="1" customWidth="1"/>
    <col min="12806" max="12806" width="11.5703125" customWidth="1"/>
    <col min="12807" max="12807" width="11.85546875" customWidth="1"/>
    <col min="12808" max="12808" width="15.7109375" customWidth="1"/>
    <col min="12809" max="12809" width="1.5703125" customWidth="1"/>
    <col min="12810" max="12810" width="10.5703125" customWidth="1"/>
    <col min="12811" max="12811" width="20.7109375" customWidth="1"/>
    <col min="12812" max="12812" width="2" customWidth="1"/>
    <col min="12813" max="12813" width="10.140625" customWidth="1"/>
    <col min="12814" max="12814" width="13.7109375" customWidth="1"/>
    <col min="12815" max="12815" width="16.5703125" customWidth="1"/>
    <col min="12816" max="12816" width="16" customWidth="1"/>
    <col min="12817" max="13026" width="9.42578125" customWidth="1"/>
    <col min="13027" max="13027" width="7.140625" customWidth="1"/>
    <col min="13028" max="13028" width="35.28515625" customWidth="1"/>
    <col min="13029" max="13029" width="6.7109375" customWidth="1"/>
    <col min="13030" max="13030" width="5.7109375" customWidth="1"/>
    <col min="13031" max="13031" width="5.85546875" customWidth="1"/>
    <col min="13032" max="13032" width="7.85546875" customWidth="1"/>
    <col min="13039" max="13039" width="7.140625" customWidth="1"/>
    <col min="13040" max="13040" width="39.42578125" customWidth="1"/>
    <col min="13041" max="13041" width="6.7109375" customWidth="1"/>
    <col min="13042" max="13042" width="5.7109375" customWidth="1"/>
    <col min="13043" max="13043" width="5.85546875" customWidth="1"/>
    <col min="13044" max="13044" width="7.85546875" customWidth="1"/>
    <col min="13045" max="13045" width="14.28515625" customWidth="1"/>
    <col min="13046" max="13046" width="14" customWidth="1"/>
    <col min="13047" max="13061" width="0" hidden="1" customWidth="1"/>
    <col min="13062" max="13062" width="11.5703125" customWidth="1"/>
    <col min="13063" max="13063" width="11.85546875" customWidth="1"/>
    <col min="13064" max="13064" width="15.7109375" customWidth="1"/>
    <col min="13065" max="13065" width="1.5703125" customWidth="1"/>
    <col min="13066" max="13066" width="10.5703125" customWidth="1"/>
    <col min="13067" max="13067" width="20.7109375" customWidth="1"/>
    <col min="13068" max="13068" width="2" customWidth="1"/>
    <col min="13069" max="13069" width="10.140625" customWidth="1"/>
    <col min="13070" max="13070" width="13.7109375" customWidth="1"/>
    <col min="13071" max="13071" width="16.5703125" customWidth="1"/>
    <col min="13072" max="13072" width="16" customWidth="1"/>
    <col min="13073" max="13282" width="9.42578125" customWidth="1"/>
    <col min="13283" max="13283" width="7.140625" customWidth="1"/>
    <col min="13284" max="13284" width="35.28515625" customWidth="1"/>
    <col min="13285" max="13285" width="6.7109375" customWidth="1"/>
    <col min="13286" max="13286" width="5.7109375" customWidth="1"/>
    <col min="13287" max="13287" width="5.85546875" customWidth="1"/>
    <col min="13288" max="13288" width="7.85546875" customWidth="1"/>
    <col min="13295" max="13295" width="7.140625" customWidth="1"/>
    <col min="13296" max="13296" width="39.42578125" customWidth="1"/>
    <col min="13297" max="13297" width="6.7109375" customWidth="1"/>
    <col min="13298" max="13298" width="5.7109375" customWidth="1"/>
    <col min="13299" max="13299" width="5.85546875" customWidth="1"/>
    <col min="13300" max="13300" width="7.85546875" customWidth="1"/>
    <col min="13301" max="13301" width="14.28515625" customWidth="1"/>
    <col min="13302" max="13302" width="14" customWidth="1"/>
    <col min="13303" max="13317" width="0" hidden="1" customWidth="1"/>
    <col min="13318" max="13318" width="11.5703125" customWidth="1"/>
    <col min="13319" max="13319" width="11.85546875" customWidth="1"/>
    <col min="13320" max="13320" width="15.7109375" customWidth="1"/>
    <col min="13321" max="13321" width="1.5703125" customWidth="1"/>
    <col min="13322" max="13322" width="10.5703125" customWidth="1"/>
    <col min="13323" max="13323" width="20.7109375" customWidth="1"/>
    <col min="13324" max="13324" width="2" customWidth="1"/>
    <col min="13325" max="13325" width="10.140625" customWidth="1"/>
    <col min="13326" max="13326" width="13.7109375" customWidth="1"/>
    <col min="13327" max="13327" width="16.5703125" customWidth="1"/>
    <col min="13328" max="13328" width="16" customWidth="1"/>
    <col min="13329" max="13538" width="9.42578125" customWidth="1"/>
    <col min="13539" max="13539" width="7.140625" customWidth="1"/>
    <col min="13540" max="13540" width="35.28515625" customWidth="1"/>
    <col min="13541" max="13541" width="6.7109375" customWidth="1"/>
    <col min="13542" max="13542" width="5.7109375" customWidth="1"/>
    <col min="13543" max="13543" width="5.85546875" customWidth="1"/>
    <col min="13544" max="13544" width="7.85546875" customWidth="1"/>
    <col min="13551" max="13551" width="7.140625" customWidth="1"/>
    <col min="13552" max="13552" width="39.42578125" customWidth="1"/>
    <col min="13553" max="13553" width="6.7109375" customWidth="1"/>
    <col min="13554" max="13554" width="5.7109375" customWidth="1"/>
    <col min="13555" max="13555" width="5.85546875" customWidth="1"/>
    <col min="13556" max="13556" width="7.85546875" customWidth="1"/>
    <col min="13557" max="13557" width="14.28515625" customWidth="1"/>
    <col min="13558" max="13558" width="14" customWidth="1"/>
    <col min="13559" max="13573" width="0" hidden="1" customWidth="1"/>
    <col min="13574" max="13574" width="11.5703125" customWidth="1"/>
    <col min="13575" max="13575" width="11.85546875" customWidth="1"/>
    <col min="13576" max="13576" width="15.7109375" customWidth="1"/>
    <col min="13577" max="13577" width="1.5703125" customWidth="1"/>
    <col min="13578" max="13578" width="10.5703125" customWidth="1"/>
    <col min="13579" max="13579" width="20.7109375" customWidth="1"/>
    <col min="13580" max="13580" width="2" customWidth="1"/>
    <col min="13581" max="13581" width="10.140625" customWidth="1"/>
    <col min="13582" max="13582" width="13.7109375" customWidth="1"/>
    <col min="13583" max="13583" width="16.5703125" customWidth="1"/>
    <col min="13584" max="13584" width="16" customWidth="1"/>
    <col min="13585" max="13794" width="9.42578125" customWidth="1"/>
    <col min="13795" max="13795" width="7.140625" customWidth="1"/>
    <col min="13796" max="13796" width="35.28515625" customWidth="1"/>
    <col min="13797" max="13797" width="6.7109375" customWidth="1"/>
    <col min="13798" max="13798" width="5.7109375" customWidth="1"/>
    <col min="13799" max="13799" width="5.85546875" customWidth="1"/>
    <col min="13800" max="13800" width="7.85546875" customWidth="1"/>
    <col min="13807" max="13807" width="7.140625" customWidth="1"/>
    <col min="13808" max="13808" width="39.42578125" customWidth="1"/>
    <col min="13809" max="13809" width="6.7109375" customWidth="1"/>
    <col min="13810" max="13810" width="5.7109375" customWidth="1"/>
    <col min="13811" max="13811" width="5.85546875" customWidth="1"/>
    <col min="13812" max="13812" width="7.85546875" customWidth="1"/>
    <col min="13813" max="13813" width="14.28515625" customWidth="1"/>
    <col min="13814" max="13814" width="14" customWidth="1"/>
    <col min="13815" max="13829" width="0" hidden="1" customWidth="1"/>
    <col min="13830" max="13830" width="11.5703125" customWidth="1"/>
    <col min="13831" max="13831" width="11.85546875" customWidth="1"/>
    <col min="13832" max="13832" width="15.7109375" customWidth="1"/>
    <col min="13833" max="13833" width="1.5703125" customWidth="1"/>
    <col min="13834" max="13834" width="10.5703125" customWidth="1"/>
    <col min="13835" max="13835" width="20.7109375" customWidth="1"/>
    <col min="13836" max="13836" width="2" customWidth="1"/>
    <col min="13837" max="13837" width="10.140625" customWidth="1"/>
    <col min="13838" max="13838" width="13.7109375" customWidth="1"/>
    <col min="13839" max="13839" width="16.5703125" customWidth="1"/>
    <col min="13840" max="13840" width="16" customWidth="1"/>
    <col min="13841" max="14050" width="9.42578125" customWidth="1"/>
    <col min="14051" max="14051" width="7.140625" customWidth="1"/>
    <col min="14052" max="14052" width="35.28515625" customWidth="1"/>
    <col min="14053" max="14053" width="6.7109375" customWidth="1"/>
    <col min="14054" max="14054" width="5.7109375" customWidth="1"/>
    <col min="14055" max="14055" width="5.85546875" customWidth="1"/>
    <col min="14056" max="14056" width="7.85546875" customWidth="1"/>
    <col min="14063" max="14063" width="7.140625" customWidth="1"/>
    <col min="14064" max="14064" width="39.42578125" customWidth="1"/>
    <col min="14065" max="14065" width="6.7109375" customWidth="1"/>
    <col min="14066" max="14066" width="5.7109375" customWidth="1"/>
    <col min="14067" max="14067" width="5.85546875" customWidth="1"/>
    <col min="14068" max="14068" width="7.85546875" customWidth="1"/>
    <col min="14069" max="14069" width="14.28515625" customWidth="1"/>
    <col min="14070" max="14070" width="14" customWidth="1"/>
    <col min="14071" max="14085" width="0" hidden="1" customWidth="1"/>
    <col min="14086" max="14086" width="11.5703125" customWidth="1"/>
    <col min="14087" max="14087" width="11.85546875" customWidth="1"/>
    <col min="14088" max="14088" width="15.7109375" customWidth="1"/>
    <col min="14089" max="14089" width="1.5703125" customWidth="1"/>
    <col min="14090" max="14090" width="10.5703125" customWidth="1"/>
    <col min="14091" max="14091" width="20.7109375" customWidth="1"/>
    <col min="14092" max="14092" width="2" customWidth="1"/>
    <col min="14093" max="14093" width="10.140625" customWidth="1"/>
    <col min="14094" max="14094" width="13.7109375" customWidth="1"/>
    <col min="14095" max="14095" width="16.5703125" customWidth="1"/>
    <col min="14096" max="14096" width="16" customWidth="1"/>
    <col min="14097" max="14306" width="9.42578125" customWidth="1"/>
    <col min="14307" max="14307" width="7.140625" customWidth="1"/>
    <col min="14308" max="14308" width="35.28515625" customWidth="1"/>
    <col min="14309" max="14309" width="6.7109375" customWidth="1"/>
    <col min="14310" max="14310" width="5.7109375" customWidth="1"/>
    <col min="14311" max="14311" width="5.85546875" customWidth="1"/>
    <col min="14312" max="14312" width="7.85546875" customWidth="1"/>
    <col min="14319" max="14319" width="7.140625" customWidth="1"/>
    <col min="14320" max="14320" width="39.42578125" customWidth="1"/>
    <col min="14321" max="14321" width="6.7109375" customWidth="1"/>
    <col min="14322" max="14322" width="5.7109375" customWidth="1"/>
    <col min="14323" max="14323" width="5.85546875" customWidth="1"/>
    <col min="14324" max="14324" width="7.85546875" customWidth="1"/>
    <col min="14325" max="14325" width="14.28515625" customWidth="1"/>
    <col min="14326" max="14326" width="14" customWidth="1"/>
    <col min="14327" max="14341" width="0" hidden="1" customWidth="1"/>
    <col min="14342" max="14342" width="11.5703125" customWidth="1"/>
    <col min="14343" max="14343" width="11.85546875" customWidth="1"/>
    <col min="14344" max="14344" width="15.7109375" customWidth="1"/>
    <col min="14345" max="14345" width="1.5703125" customWidth="1"/>
    <col min="14346" max="14346" width="10.5703125" customWidth="1"/>
    <col min="14347" max="14347" width="20.7109375" customWidth="1"/>
    <col min="14348" max="14348" width="2" customWidth="1"/>
    <col min="14349" max="14349" width="10.140625" customWidth="1"/>
    <col min="14350" max="14350" width="13.7109375" customWidth="1"/>
    <col min="14351" max="14351" width="16.5703125" customWidth="1"/>
    <col min="14352" max="14352" width="16" customWidth="1"/>
    <col min="14353" max="14562" width="9.42578125" customWidth="1"/>
    <col min="14563" max="14563" width="7.140625" customWidth="1"/>
    <col min="14564" max="14564" width="35.28515625" customWidth="1"/>
    <col min="14565" max="14565" width="6.7109375" customWidth="1"/>
    <col min="14566" max="14566" width="5.7109375" customWidth="1"/>
    <col min="14567" max="14567" width="5.85546875" customWidth="1"/>
    <col min="14568" max="14568" width="7.85546875" customWidth="1"/>
    <col min="14575" max="14575" width="7.140625" customWidth="1"/>
    <col min="14576" max="14576" width="39.42578125" customWidth="1"/>
    <col min="14577" max="14577" width="6.7109375" customWidth="1"/>
    <col min="14578" max="14578" width="5.7109375" customWidth="1"/>
    <col min="14579" max="14579" width="5.85546875" customWidth="1"/>
    <col min="14580" max="14580" width="7.85546875" customWidth="1"/>
    <col min="14581" max="14581" width="14.28515625" customWidth="1"/>
    <col min="14582" max="14582" width="14" customWidth="1"/>
    <col min="14583" max="14597" width="0" hidden="1" customWidth="1"/>
    <col min="14598" max="14598" width="11.5703125" customWidth="1"/>
    <col min="14599" max="14599" width="11.85546875" customWidth="1"/>
    <col min="14600" max="14600" width="15.7109375" customWidth="1"/>
    <col min="14601" max="14601" width="1.5703125" customWidth="1"/>
    <col min="14602" max="14602" width="10.5703125" customWidth="1"/>
    <col min="14603" max="14603" width="20.7109375" customWidth="1"/>
    <col min="14604" max="14604" width="2" customWidth="1"/>
    <col min="14605" max="14605" width="10.140625" customWidth="1"/>
    <col min="14606" max="14606" width="13.7109375" customWidth="1"/>
    <col min="14607" max="14607" width="16.5703125" customWidth="1"/>
    <col min="14608" max="14608" width="16" customWidth="1"/>
    <col min="14609" max="14818" width="9.42578125" customWidth="1"/>
    <col min="14819" max="14819" width="7.140625" customWidth="1"/>
    <col min="14820" max="14820" width="35.28515625" customWidth="1"/>
    <col min="14821" max="14821" width="6.7109375" customWidth="1"/>
    <col min="14822" max="14822" width="5.7109375" customWidth="1"/>
    <col min="14823" max="14823" width="5.85546875" customWidth="1"/>
    <col min="14824" max="14824" width="7.85546875" customWidth="1"/>
    <col min="14831" max="14831" width="7.140625" customWidth="1"/>
    <col min="14832" max="14832" width="39.42578125" customWidth="1"/>
    <col min="14833" max="14833" width="6.7109375" customWidth="1"/>
    <col min="14834" max="14834" width="5.7109375" customWidth="1"/>
    <col min="14835" max="14835" width="5.85546875" customWidth="1"/>
    <col min="14836" max="14836" width="7.85546875" customWidth="1"/>
    <col min="14837" max="14837" width="14.28515625" customWidth="1"/>
    <col min="14838" max="14838" width="14" customWidth="1"/>
    <col min="14839" max="14853" width="0" hidden="1" customWidth="1"/>
    <col min="14854" max="14854" width="11.5703125" customWidth="1"/>
    <col min="14855" max="14855" width="11.85546875" customWidth="1"/>
    <col min="14856" max="14856" width="15.7109375" customWidth="1"/>
    <col min="14857" max="14857" width="1.5703125" customWidth="1"/>
    <col min="14858" max="14858" width="10.5703125" customWidth="1"/>
    <col min="14859" max="14859" width="20.7109375" customWidth="1"/>
    <col min="14860" max="14860" width="2" customWidth="1"/>
    <col min="14861" max="14861" width="10.140625" customWidth="1"/>
    <col min="14862" max="14862" width="13.7109375" customWidth="1"/>
    <col min="14863" max="14863" width="16.5703125" customWidth="1"/>
    <col min="14864" max="14864" width="16" customWidth="1"/>
    <col min="14865" max="15074" width="9.42578125" customWidth="1"/>
    <col min="15075" max="15075" width="7.140625" customWidth="1"/>
    <col min="15076" max="15076" width="35.28515625" customWidth="1"/>
    <col min="15077" max="15077" width="6.7109375" customWidth="1"/>
    <col min="15078" max="15078" width="5.7109375" customWidth="1"/>
    <col min="15079" max="15079" width="5.85546875" customWidth="1"/>
    <col min="15080" max="15080" width="7.85546875" customWidth="1"/>
    <col min="15087" max="15087" width="7.140625" customWidth="1"/>
    <col min="15088" max="15088" width="39.42578125" customWidth="1"/>
    <col min="15089" max="15089" width="6.7109375" customWidth="1"/>
    <col min="15090" max="15090" width="5.7109375" customWidth="1"/>
    <col min="15091" max="15091" width="5.85546875" customWidth="1"/>
    <col min="15092" max="15092" width="7.85546875" customWidth="1"/>
    <col min="15093" max="15093" width="14.28515625" customWidth="1"/>
    <col min="15094" max="15094" width="14" customWidth="1"/>
    <col min="15095" max="15109" width="0" hidden="1" customWidth="1"/>
    <col min="15110" max="15110" width="11.5703125" customWidth="1"/>
    <col min="15111" max="15111" width="11.85546875" customWidth="1"/>
    <col min="15112" max="15112" width="15.7109375" customWidth="1"/>
    <col min="15113" max="15113" width="1.5703125" customWidth="1"/>
    <col min="15114" max="15114" width="10.5703125" customWidth="1"/>
    <col min="15115" max="15115" width="20.7109375" customWidth="1"/>
    <col min="15116" max="15116" width="2" customWidth="1"/>
    <col min="15117" max="15117" width="10.140625" customWidth="1"/>
    <col min="15118" max="15118" width="13.7109375" customWidth="1"/>
    <col min="15119" max="15119" width="16.5703125" customWidth="1"/>
    <col min="15120" max="15120" width="16" customWidth="1"/>
    <col min="15121" max="15330" width="9.42578125" customWidth="1"/>
    <col min="15331" max="15331" width="7.140625" customWidth="1"/>
    <col min="15332" max="15332" width="35.28515625" customWidth="1"/>
    <col min="15333" max="15333" width="6.7109375" customWidth="1"/>
    <col min="15334" max="15334" width="5.7109375" customWidth="1"/>
    <col min="15335" max="15335" width="5.85546875" customWidth="1"/>
    <col min="15336" max="15336" width="7.85546875" customWidth="1"/>
    <col min="15343" max="15343" width="7.140625" customWidth="1"/>
    <col min="15344" max="15344" width="39.42578125" customWidth="1"/>
    <col min="15345" max="15345" width="6.7109375" customWidth="1"/>
    <col min="15346" max="15346" width="5.7109375" customWidth="1"/>
    <col min="15347" max="15347" width="5.85546875" customWidth="1"/>
    <col min="15348" max="15348" width="7.85546875" customWidth="1"/>
    <col min="15349" max="15349" width="14.28515625" customWidth="1"/>
    <col min="15350" max="15350" width="14" customWidth="1"/>
    <col min="15351" max="15365" width="0" hidden="1" customWidth="1"/>
    <col min="15366" max="15366" width="11.5703125" customWidth="1"/>
    <col min="15367" max="15367" width="11.85546875" customWidth="1"/>
    <col min="15368" max="15368" width="15.7109375" customWidth="1"/>
    <col min="15369" max="15369" width="1.5703125" customWidth="1"/>
    <col min="15370" max="15370" width="10.5703125" customWidth="1"/>
    <col min="15371" max="15371" width="20.7109375" customWidth="1"/>
    <col min="15372" max="15372" width="2" customWidth="1"/>
    <col min="15373" max="15373" width="10.140625" customWidth="1"/>
    <col min="15374" max="15374" width="13.7109375" customWidth="1"/>
    <col min="15375" max="15375" width="16.5703125" customWidth="1"/>
    <col min="15376" max="15376" width="16" customWidth="1"/>
    <col min="15377" max="15586" width="9.42578125" customWidth="1"/>
    <col min="15587" max="15587" width="7.140625" customWidth="1"/>
    <col min="15588" max="15588" width="35.28515625" customWidth="1"/>
    <col min="15589" max="15589" width="6.7109375" customWidth="1"/>
    <col min="15590" max="15590" width="5.7109375" customWidth="1"/>
    <col min="15591" max="15591" width="5.85546875" customWidth="1"/>
    <col min="15592" max="15592" width="7.85546875" customWidth="1"/>
    <col min="15599" max="15599" width="7.140625" customWidth="1"/>
    <col min="15600" max="15600" width="39.42578125" customWidth="1"/>
    <col min="15601" max="15601" width="6.7109375" customWidth="1"/>
    <col min="15602" max="15602" width="5.7109375" customWidth="1"/>
    <col min="15603" max="15603" width="5.85546875" customWidth="1"/>
    <col min="15604" max="15604" width="7.85546875" customWidth="1"/>
    <col min="15605" max="15605" width="14.28515625" customWidth="1"/>
    <col min="15606" max="15606" width="14" customWidth="1"/>
    <col min="15607" max="15621" width="0" hidden="1" customWidth="1"/>
    <col min="15622" max="15622" width="11.5703125" customWidth="1"/>
    <col min="15623" max="15623" width="11.85546875" customWidth="1"/>
    <col min="15624" max="15624" width="15.7109375" customWidth="1"/>
    <col min="15625" max="15625" width="1.5703125" customWidth="1"/>
    <col min="15626" max="15626" width="10.5703125" customWidth="1"/>
    <col min="15627" max="15627" width="20.7109375" customWidth="1"/>
    <col min="15628" max="15628" width="2" customWidth="1"/>
    <col min="15629" max="15629" width="10.140625" customWidth="1"/>
    <col min="15630" max="15630" width="13.7109375" customWidth="1"/>
    <col min="15631" max="15631" width="16.5703125" customWidth="1"/>
    <col min="15632" max="15632" width="16" customWidth="1"/>
    <col min="15633" max="15842" width="9.42578125" customWidth="1"/>
    <col min="15843" max="15843" width="7.140625" customWidth="1"/>
    <col min="15844" max="15844" width="35.28515625" customWidth="1"/>
    <col min="15845" max="15845" width="6.7109375" customWidth="1"/>
    <col min="15846" max="15846" width="5.7109375" customWidth="1"/>
    <col min="15847" max="15847" width="5.85546875" customWidth="1"/>
    <col min="15848" max="15848" width="7.85546875" customWidth="1"/>
    <col min="15855" max="15855" width="7.140625" customWidth="1"/>
    <col min="15856" max="15856" width="39.42578125" customWidth="1"/>
    <col min="15857" max="15857" width="6.7109375" customWidth="1"/>
    <col min="15858" max="15858" width="5.7109375" customWidth="1"/>
    <col min="15859" max="15859" width="5.85546875" customWidth="1"/>
    <col min="15860" max="15860" width="7.85546875" customWidth="1"/>
    <col min="15861" max="15861" width="14.28515625" customWidth="1"/>
    <col min="15862" max="15862" width="14" customWidth="1"/>
    <col min="15863" max="15877" width="0" hidden="1" customWidth="1"/>
    <col min="15878" max="15878" width="11.5703125" customWidth="1"/>
    <col min="15879" max="15879" width="11.85546875" customWidth="1"/>
    <col min="15880" max="15880" width="15.7109375" customWidth="1"/>
    <col min="15881" max="15881" width="1.5703125" customWidth="1"/>
    <col min="15882" max="15882" width="10.5703125" customWidth="1"/>
    <col min="15883" max="15883" width="20.7109375" customWidth="1"/>
    <col min="15884" max="15884" width="2" customWidth="1"/>
    <col min="15885" max="15885" width="10.140625" customWidth="1"/>
    <col min="15886" max="15886" width="13.7109375" customWidth="1"/>
    <col min="15887" max="15887" width="16.5703125" customWidth="1"/>
    <col min="15888" max="15888" width="16" customWidth="1"/>
    <col min="15889" max="16098" width="9.42578125" customWidth="1"/>
    <col min="16099" max="16099" width="7.140625" customWidth="1"/>
    <col min="16100" max="16100" width="35.28515625" customWidth="1"/>
    <col min="16101" max="16101" width="6.7109375" customWidth="1"/>
    <col min="16102" max="16102" width="5.7109375" customWidth="1"/>
    <col min="16103" max="16103" width="5.85546875" customWidth="1"/>
    <col min="16104" max="16104" width="7.85546875" customWidth="1"/>
    <col min="16111" max="16111" width="7.140625" customWidth="1"/>
    <col min="16112" max="16112" width="39.42578125" customWidth="1"/>
    <col min="16113" max="16113" width="6.7109375" customWidth="1"/>
    <col min="16114" max="16114" width="5.7109375" customWidth="1"/>
    <col min="16115" max="16115" width="5.85546875" customWidth="1"/>
    <col min="16116" max="16116" width="7.85546875" customWidth="1"/>
    <col min="16117" max="16117" width="14.28515625" customWidth="1"/>
    <col min="16118" max="16118" width="14" customWidth="1"/>
    <col min="16119" max="16133" width="0" hidden="1" customWidth="1"/>
    <col min="16134" max="16134" width="11.5703125" customWidth="1"/>
    <col min="16135" max="16135" width="11.85546875" customWidth="1"/>
    <col min="16136" max="16136" width="15.7109375" customWidth="1"/>
    <col min="16137" max="16137" width="1.5703125" customWidth="1"/>
    <col min="16138" max="16138" width="10.5703125" customWidth="1"/>
    <col min="16139" max="16139" width="20.7109375" customWidth="1"/>
    <col min="16140" max="16140" width="2" customWidth="1"/>
    <col min="16141" max="16141" width="10.140625" customWidth="1"/>
    <col min="16142" max="16142" width="13.7109375" customWidth="1"/>
    <col min="16143" max="16143" width="16.5703125" customWidth="1"/>
    <col min="16144" max="16144" width="16" customWidth="1"/>
    <col min="16145" max="16354" width="9.42578125" customWidth="1"/>
    <col min="16355" max="16355" width="7.140625" customWidth="1"/>
    <col min="16356" max="16356" width="35.28515625" customWidth="1"/>
    <col min="16357" max="16357" width="6.7109375" customWidth="1"/>
    <col min="16358" max="16358" width="5.7109375" customWidth="1"/>
    <col min="16359" max="16359" width="5.85546875" customWidth="1"/>
    <col min="16360" max="16360" width="7.85546875" customWidth="1"/>
  </cols>
  <sheetData>
    <row r="2" spans="1:16" ht="15.75" x14ac:dyDescent="0.25">
      <c r="A2" s="1" t="s">
        <v>105</v>
      </c>
      <c r="B2" s="1"/>
      <c r="C2" s="2"/>
      <c r="D2" s="2"/>
      <c r="E2" s="2"/>
      <c r="F2" s="2"/>
      <c r="G2" s="3"/>
    </row>
    <row r="3" spans="1:16" ht="15.75" x14ac:dyDescent="0.25">
      <c r="A3" s="5" t="s">
        <v>106</v>
      </c>
      <c r="B3" s="5"/>
      <c r="C3" s="5"/>
      <c r="D3" s="2"/>
      <c r="E3" s="2"/>
      <c r="F3" s="2"/>
      <c r="G3" s="2"/>
      <c r="J3" s="7"/>
      <c r="K3" s="7"/>
    </row>
    <row r="4" spans="1:16" ht="15.75" thickBot="1" x14ac:dyDescent="0.3">
      <c r="J4" s="7"/>
      <c r="K4" s="7"/>
    </row>
    <row r="5" spans="1:16" ht="19.5" thickBot="1" x14ac:dyDescent="0.3">
      <c r="A5" s="8" t="s">
        <v>0</v>
      </c>
      <c r="B5" s="8" t="s">
        <v>1</v>
      </c>
      <c r="C5" s="328" t="s">
        <v>2</v>
      </c>
      <c r="D5" s="328"/>
      <c r="E5" s="328"/>
      <c r="F5" s="335" t="s">
        <v>107</v>
      </c>
      <c r="G5" s="335"/>
      <c r="H5" s="335"/>
      <c r="I5" s="9"/>
      <c r="J5" s="334" t="s">
        <v>108</v>
      </c>
      <c r="K5" s="334"/>
      <c r="L5" s="9"/>
      <c r="M5" s="329" t="s">
        <v>5</v>
      </c>
      <c r="N5" s="329"/>
    </row>
    <row r="6" spans="1:16" ht="39" thickBot="1" x14ac:dyDescent="0.3">
      <c r="A6" s="10"/>
      <c r="B6" s="10"/>
      <c r="C6" s="11" t="s">
        <v>6</v>
      </c>
      <c r="D6" s="12" t="s">
        <v>7</v>
      </c>
      <c r="E6" s="250" t="s">
        <v>8</v>
      </c>
      <c r="F6" s="13" t="s">
        <v>9</v>
      </c>
      <c r="G6" s="14" t="s">
        <v>10</v>
      </c>
      <c r="H6" s="15" t="s">
        <v>11</v>
      </c>
      <c r="I6" s="18"/>
      <c r="J6" s="19" t="s">
        <v>10</v>
      </c>
      <c r="K6" s="15" t="s">
        <v>11</v>
      </c>
      <c r="L6" s="20"/>
      <c r="M6" s="21" t="s">
        <v>12</v>
      </c>
      <c r="N6" s="15" t="s">
        <v>13</v>
      </c>
    </row>
    <row r="7" spans="1:16" x14ac:dyDescent="0.25">
      <c r="A7" s="22"/>
      <c r="B7" s="23"/>
      <c r="C7" s="24"/>
      <c r="D7" s="25"/>
      <c r="E7" s="26"/>
      <c r="F7" s="24"/>
      <c r="G7" s="27"/>
      <c r="H7" s="28"/>
      <c r="J7" s="24"/>
      <c r="K7" s="31"/>
      <c r="M7" s="23"/>
      <c r="N7" s="30"/>
    </row>
    <row r="8" spans="1:16" x14ac:dyDescent="0.25">
      <c r="A8" s="32">
        <v>1</v>
      </c>
      <c r="B8" s="33" t="s">
        <v>14</v>
      </c>
      <c r="C8" s="34">
        <v>2</v>
      </c>
      <c r="D8" s="35">
        <v>0</v>
      </c>
      <c r="E8" s="36">
        <f t="shared" ref="E8:E26" si="0">C8+D8</f>
        <v>2</v>
      </c>
      <c r="F8" s="37"/>
      <c r="G8" s="38"/>
      <c r="H8" s="36"/>
      <c r="J8" s="40"/>
      <c r="K8" s="41"/>
      <c r="M8" s="253" t="e">
        <f>G8/J8</f>
        <v>#DIV/0!</v>
      </c>
      <c r="N8" s="254" t="e">
        <f>H8/K8</f>
        <v>#DIV/0!</v>
      </c>
    </row>
    <row r="9" spans="1:16" x14ac:dyDescent="0.25">
      <c r="A9" s="32">
        <f t="shared" ref="A9:A26" si="1">A8+1</f>
        <v>2</v>
      </c>
      <c r="B9" s="33" t="s">
        <v>15</v>
      </c>
      <c r="C9" s="34">
        <v>6</v>
      </c>
      <c r="D9" s="35">
        <v>1</v>
      </c>
      <c r="E9" s="36">
        <f t="shared" si="0"/>
        <v>7</v>
      </c>
      <c r="F9" s="37">
        <v>2</v>
      </c>
      <c r="G9" s="38">
        <v>20</v>
      </c>
      <c r="H9" s="36">
        <v>1034706</v>
      </c>
      <c r="J9" s="40"/>
      <c r="K9" s="41"/>
      <c r="M9" s="253" t="e">
        <f t="shared" ref="M9:M39" si="2">G9/J9</f>
        <v>#DIV/0!</v>
      </c>
      <c r="N9" s="254" t="e">
        <f t="shared" ref="N9:N39" si="3">H9/K9</f>
        <v>#DIV/0!</v>
      </c>
    </row>
    <row r="10" spans="1:16" x14ac:dyDescent="0.25">
      <c r="A10" s="32">
        <f t="shared" si="1"/>
        <v>3</v>
      </c>
      <c r="B10" s="33" t="s">
        <v>16</v>
      </c>
      <c r="C10" s="34">
        <v>6</v>
      </c>
      <c r="D10" s="35">
        <v>5</v>
      </c>
      <c r="E10" s="36">
        <f t="shared" si="0"/>
        <v>11</v>
      </c>
      <c r="F10" s="37">
        <v>5</v>
      </c>
      <c r="G10" s="38">
        <v>32</v>
      </c>
      <c r="H10" s="36">
        <v>1570732</v>
      </c>
      <c r="J10" s="40"/>
      <c r="K10" s="41"/>
      <c r="M10" s="253" t="e">
        <f t="shared" si="2"/>
        <v>#DIV/0!</v>
      </c>
      <c r="N10" s="254" t="e">
        <f t="shared" si="3"/>
        <v>#DIV/0!</v>
      </c>
    </row>
    <row r="11" spans="1:16" x14ac:dyDescent="0.25">
      <c r="A11" s="32">
        <f t="shared" si="1"/>
        <v>4</v>
      </c>
      <c r="B11" s="44" t="s">
        <v>17</v>
      </c>
      <c r="C11" s="45">
        <v>2</v>
      </c>
      <c r="D11" s="46">
        <v>6</v>
      </c>
      <c r="E11" s="36">
        <f t="shared" si="0"/>
        <v>8</v>
      </c>
      <c r="F11" s="258">
        <v>3</v>
      </c>
      <c r="G11" s="259">
        <v>15</v>
      </c>
      <c r="H11" s="260">
        <v>717273</v>
      </c>
      <c r="J11" s="40"/>
      <c r="K11" s="41"/>
      <c r="M11" s="253" t="e">
        <f t="shared" si="2"/>
        <v>#DIV/0!</v>
      </c>
      <c r="N11" s="254" t="e">
        <f t="shared" si="3"/>
        <v>#DIV/0!</v>
      </c>
      <c r="P11" s="47"/>
    </row>
    <row r="12" spans="1:16" x14ac:dyDescent="0.25">
      <c r="A12" s="32">
        <f t="shared" si="1"/>
        <v>5</v>
      </c>
      <c r="B12" s="33" t="s">
        <v>18</v>
      </c>
      <c r="C12" s="34">
        <v>1</v>
      </c>
      <c r="D12" s="35">
        <v>0</v>
      </c>
      <c r="E12" s="36">
        <f t="shared" si="0"/>
        <v>1</v>
      </c>
      <c r="F12" s="37"/>
      <c r="G12" s="38"/>
      <c r="H12" s="36"/>
      <c r="J12" s="40"/>
      <c r="K12" s="41"/>
      <c r="M12" s="253" t="e">
        <f t="shared" si="2"/>
        <v>#DIV/0!</v>
      </c>
      <c r="N12" s="254" t="e">
        <f t="shared" si="3"/>
        <v>#DIV/0!</v>
      </c>
      <c r="P12" s="47"/>
    </row>
    <row r="13" spans="1:16" x14ac:dyDescent="0.25">
      <c r="A13" s="32">
        <f t="shared" si="1"/>
        <v>6</v>
      </c>
      <c r="B13" s="33" t="s">
        <v>19</v>
      </c>
      <c r="C13" s="34">
        <v>1</v>
      </c>
      <c r="D13" s="35">
        <v>0</v>
      </c>
      <c r="E13" s="36">
        <f t="shared" si="0"/>
        <v>1</v>
      </c>
      <c r="F13" s="37"/>
      <c r="G13" s="38"/>
      <c r="H13" s="36"/>
      <c r="I13" s="48"/>
      <c r="J13" s="40"/>
      <c r="K13" s="41"/>
      <c r="L13" s="48"/>
      <c r="M13" s="253" t="e">
        <f t="shared" si="2"/>
        <v>#DIV/0!</v>
      </c>
      <c r="N13" s="254" t="e">
        <f t="shared" si="3"/>
        <v>#DIV/0!</v>
      </c>
      <c r="P13" s="47"/>
    </row>
    <row r="14" spans="1:16" x14ac:dyDescent="0.25">
      <c r="A14" s="32">
        <f t="shared" si="1"/>
        <v>7</v>
      </c>
      <c r="B14" s="33" t="s">
        <v>20</v>
      </c>
      <c r="C14" s="34">
        <v>0</v>
      </c>
      <c r="D14" s="35">
        <v>0</v>
      </c>
      <c r="E14" s="36">
        <f t="shared" si="0"/>
        <v>0</v>
      </c>
      <c r="F14" s="37"/>
      <c r="G14" s="38"/>
      <c r="H14" s="36"/>
      <c r="I14" s="48"/>
      <c r="J14" s="40"/>
      <c r="K14" s="41"/>
      <c r="L14" s="48"/>
      <c r="M14" s="253" t="e">
        <f t="shared" si="2"/>
        <v>#DIV/0!</v>
      </c>
      <c r="N14" s="254" t="e">
        <f t="shared" si="3"/>
        <v>#DIV/0!</v>
      </c>
      <c r="P14" s="47"/>
    </row>
    <row r="15" spans="1:16" x14ac:dyDescent="0.25">
      <c r="A15" s="32">
        <f t="shared" si="1"/>
        <v>8</v>
      </c>
      <c r="B15" s="33" t="s">
        <v>21</v>
      </c>
      <c r="C15" s="34">
        <v>2</v>
      </c>
      <c r="D15" s="35">
        <v>1</v>
      </c>
      <c r="E15" s="36">
        <f t="shared" si="0"/>
        <v>3</v>
      </c>
      <c r="F15" s="37">
        <v>2</v>
      </c>
      <c r="G15" s="38">
        <v>37</v>
      </c>
      <c r="H15" s="36">
        <v>1943158</v>
      </c>
      <c r="I15" s="48"/>
      <c r="J15" s="40"/>
      <c r="K15" s="41"/>
      <c r="L15" s="48"/>
      <c r="M15" s="253" t="e">
        <f t="shared" si="2"/>
        <v>#DIV/0!</v>
      </c>
      <c r="N15" s="254" t="e">
        <f t="shared" si="3"/>
        <v>#DIV/0!</v>
      </c>
      <c r="P15" s="47"/>
    </row>
    <row r="16" spans="1:16" x14ac:dyDescent="0.25">
      <c r="A16" s="32">
        <f t="shared" si="1"/>
        <v>9</v>
      </c>
      <c r="B16" s="33" t="s">
        <v>22</v>
      </c>
      <c r="C16" s="34">
        <v>0</v>
      </c>
      <c r="D16" s="35">
        <v>0</v>
      </c>
      <c r="E16" s="36">
        <f t="shared" si="0"/>
        <v>0</v>
      </c>
      <c r="F16" s="37"/>
      <c r="G16" s="38"/>
      <c r="H16" s="36"/>
      <c r="I16" s="48"/>
      <c r="J16" s="40"/>
      <c r="K16" s="41"/>
      <c r="L16" s="48"/>
      <c r="M16" s="253" t="e">
        <f t="shared" si="2"/>
        <v>#DIV/0!</v>
      </c>
      <c r="N16" s="254" t="e">
        <f t="shared" si="3"/>
        <v>#DIV/0!</v>
      </c>
    </row>
    <row r="17" spans="1:14" x14ac:dyDescent="0.25">
      <c r="A17" s="32">
        <f t="shared" si="1"/>
        <v>10</v>
      </c>
      <c r="B17" s="33" t="s">
        <v>23</v>
      </c>
      <c r="C17" s="34">
        <v>8</v>
      </c>
      <c r="D17" s="35">
        <v>1</v>
      </c>
      <c r="E17" s="36">
        <f t="shared" si="0"/>
        <v>9</v>
      </c>
      <c r="F17" s="37">
        <v>2</v>
      </c>
      <c r="G17" s="38">
        <v>21</v>
      </c>
      <c r="H17" s="36">
        <v>1081900</v>
      </c>
      <c r="I17" s="48"/>
      <c r="J17" s="40"/>
      <c r="K17" s="41"/>
      <c r="L17" s="48"/>
      <c r="M17" s="253" t="e">
        <f t="shared" si="2"/>
        <v>#DIV/0!</v>
      </c>
      <c r="N17" s="254" t="e">
        <f t="shared" si="3"/>
        <v>#DIV/0!</v>
      </c>
    </row>
    <row r="18" spans="1:14" x14ac:dyDescent="0.25">
      <c r="A18" s="32">
        <f t="shared" si="1"/>
        <v>11</v>
      </c>
      <c r="B18" s="33" t="s">
        <v>24</v>
      </c>
      <c r="C18" s="34">
        <v>7</v>
      </c>
      <c r="D18" s="35">
        <v>2</v>
      </c>
      <c r="E18" s="36">
        <f t="shared" si="0"/>
        <v>9</v>
      </c>
      <c r="F18" s="37">
        <v>2</v>
      </c>
      <c r="G18" s="38">
        <v>10</v>
      </c>
      <c r="H18" s="39">
        <v>479072</v>
      </c>
      <c r="I18" s="48"/>
      <c r="J18" s="40"/>
      <c r="K18" s="41"/>
      <c r="L18" s="48"/>
      <c r="M18" s="253" t="e">
        <f t="shared" si="2"/>
        <v>#DIV/0!</v>
      </c>
      <c r="N18" s="254" t="e">
        <f t="shared" si="3"/>
        <v>#DIV/0!</v>
      </c>
    </row>
    <row r="19" spans="1:14" s="48" customFormat="1" x14ac:dyDescent="0.25">
      <c r="A19" s="51">
        <f t="shared" si="1"/>
        <v>12</v>
      </c>
      <c r="B19" s="52" t="s">
        <v>25</v>
      </c>
      <c r="C19" s="53">
        <v>5</v>
      </c>
      <c r="D19" s="54">
        <v>0</v>
      </c>
      <c r="E19" s="55">
        <f t="shared" si="0"/>
        <v>5</v>
      </c>
      <c r="F19" s="261">
        <v>2</v>
      </c>
      <c r="G19" s="262">
        <v>9</v>
      </c>
      <c r="H19" s="55">
        <v>466330</v>
      </c>
      <c r="J19" s="40"/>
      <c r="K19" s="41"/>
      <c r="M19" s="253" t="e">
        <f t="shared" si="2"/>
        <v>#DIV/0!</v>
      </c>
      <c r="N19" s="254" t="e">
        <f t="shared" si="3"/>
        <v>#DIV/0!</v>
      </c>
    </row>
    <row r="20" spans="1:14" x14ac:dyDescent="0.25">
      <c r="A20" s="32">
        <f t="shared" si="1"/>
        <v>13</v>
      </c>
      <c r="B20" s="33" t="s">
        <v>26</v>
      </c>
      <c r="C20" s="34">
        <v>10</v>
      </c>
      <c r="D20" s="35">
        <v>6</v>
      </c>
      <c r="E20" s="36">
        <f t="shared" si="0"/>
        <v>16</v>
      </c>
      <c r="F20" s="37">
        <v>13</v>
      </c>
      <c r="G20" s="38">
        <v>259</v>
      </c>
      <c r="H20" s="39">
        <v>12267179</v>
      </c>
      <c r="I20" s="48"/>
      <c r="J20" s="40"/>
      <c r="K20" s="41"/>
      <c r="L20" s="48"/>
      <c r="M20" s="253" t="e">
        <f t="shared" si="2"/>
        <v>#DIV/0!</v>
      </c>
      <c r="N20" s="254" t="e">
        <f t="shared" si="3"/>
        <v>#DIV/0!</v>
      </c>
    </row>
    <row r="21" spans="1:14" x14ac:dyDescent="0.25">
      <c r="A21" s="32">
        <f t="shared" si="1"/>
        <v>14</v>
      </c>
      <c r="B21" s="33" t="s">
        <v>27</v>
      </c>
      <c r="C21" s="34">
        <v>3</v>
      </c>
      <c r="D21" s="35">
        <v>6</v>
      </c>
      <c r="E21" s="36">
        <f t="shared" si="0"/>
        <v>9</v>
      </c>
      <c r="F21" s="37">
        <v>3</v>
      </c>
      <c r="G21" s="38">
        <v>116</v>
      </c>
      <c r="H21" s="36">
        <v>4876326</v>
      </c>
      <c r="I21" s="48"/>
      <c r="J21" s="40"/>
      <c r="K21" s="41"/>
      <c r="L21" s="48"/>
      <c r="M21" s="253" t="e">
        <f t="shared" si="2"/>
        <v>#DIV/0!</v>
      </c>
      <c r="N21" s="254" t="e">
        <f t="shared" si="3"/>
        <v>#DIV/0!</v>
      </c>
    </row>
    <row r="22" spans="1:14" x14ac:dyDescent="0.25">
      <c r="A22" s="32">
        <f t="shared" si="1"/>
        <v>15</v>
      </c>
      <c r="B22" s="57" t="s">
        <v>28</v>
      </c>
      <c r="C22" s="34">
        <v>10</v>
      </c>
      <c r="D22" s="35">
        <v>7</v>
      </c>
      <c r="E22" s="36">
        <f t="shared" si="0"/>
        <v>17</v>
      </c>
      <c r="F22" s="37">
        <v>28</v>
      </c>
      <c r="G22" s="38">
        <v>678</v>
      </c>
      <c r="H22" s="36">
        <v>29535951</v>
      </c>
      <c r="I22" s="48"/>
      <c r="J22" s="40"/>
      <c r="K22" s="41"/>
      <c r="L22" s="48"/>
      <c r="M22" s="253" t="e">
        <f t="shared" si="2"/>
        <v>#DIV/0!</v>
      </c>
      <c r="N22" s="254" t="e">
        <f t="shared" si="3"/>
        <v>#DIV/0!</v>
      </c>
    </row>
    <row r="23" spans="1:14" x14ac:dyDescent="0.25">
      <c r="A23" s="32">
        <f t="shared" si="1"/>
        <v>16</v>
      </c>
      <c r="B23" s="33" t="s">
        <v>29</v>
      </c>
      <c r="C23" s="34">
        <v>20</v>
      </c>
      <c r="D23" s="35">
        <v>3</v>
      </c>
      <c r="E23" s="36">
        <f t="shared" si="0"/>
        <v>23</v>
      </c>
      <c r="F23" s="37"/>
      <c r="G23" s="38"/>
      <c r="H23" s="36"/>
      <c r="J23" s="58">
        <v>140</v>
      </c>
      <c r="K23" s="59">
        <v>7183543.8843930643</v>
      </c>
      <c r="M23" s="253">
        <f t="shared" si="2"/>
        <v>0</v>
      </c>
      <c r="N23" s="254">
        <f t="shared" si="3"/>
        <v>0</v>
      </c>
    </row>
    <row r="24" spans="1:14" x14ac:dyDescent="0.25">
      <c r="A24" s="32">
        <f t="shared" si="1"/>
        <v>17</v>
      </c>
      <c r="B24" s="33" t="s">
        <v>30</v>
      </c>
      <c r="C24" s="34">
        <v>0</v>
      </c>
      <c r="D24" s="35">
        <v>7</v>
      </c>
      <c r="E24" s="36">
        <f t="shared" si="0"/>
        <v>7</v>
      </c>
      <c r="F24" s="37">
        <v>5</v>
      </c>
      <c r="G24" s="38">
        <v>153.5</v>
      </c>
      <c r="H24" s="36">
        <v>7419264.5</v>
      </c>
      <c r="J24" s="40"/>
      <c r="K24" s="41"/>
      <c r="M24" s="253" t="e">
        <f t="shared" si="2"/>
        <v>#DIV/0!</v>
      </c>
      <c r="N24" s="254" t="e">
        <f t="shared" si="3"/>
        <v>#DIV/0!</v>
      </c>
    </row>
    <row r="25" spans="1:14" x14ac:dyDescent="0.25">
      <c r="A25" s="32">
        <f t="shared" si="1"/>
        <v>18</v>
      </c>
      <c r="B25" s="33" t="s">
        <v>31</v>
      </c>
      <c r="C25" s="34">
        <v>5</v>
      </c>
      <c r="D25" s="35">
        <v>11</v>
      </c>
      <c r="E25" s="36">
        <f t="shared" si="0"/>
        <v>16</v>
      </c>
      <c r="F25" s="258"/>
      <c r="G25" s="259"/>
      <c r="H25" s="39"/>
      <c r="J25" s="40">
        <v>170</v>
      </c>
      <c r="K25" s="41">
        <v>7219953.1791907512</v>
      </c>
      <c r="M25" s="253">
        <f t="shared" si="2"/>
        <v>0</v>
      </c>
      <c r="N25" s="254">
        <f t="shared" si="3"/>
        <v>0</v>
      </c>
    </row>
    <row r="26" spans="1:14" x14ac:dyDescent="0.25">
      <c r="A26" s="60">
        <f t="shared" si="1"/>
        <v>19</v>
      </c>
      <c r="B26" s="61" t="s">
        <v>32</v>
      </c>
      <c r="C26" s="62">
        <v>26</v>
      </c>
      <c r="D26" s="63">
        <v>10</v>
      </c>
      <c r="E26" s="64">
        <f t="shared" si="0"/>
        <v>36</v>
      </c>
      <c r="F26" s="37"/>
      <c r="G26" s="38"/>
      <c r="H26" s="64"/>
      <c r="J26" s="40">
        <v>504</v>
      </c>
      <c r="K26" s="41">
        <v>26192104.578034684</v>
      </c>
      <c r="M26" s="253">
        <f t="shared" si="2"/>
        <v>0</v>
      </c>
      <c r="N26" s="254">
        <f t="shared" si="3"/>
        <v>0</v>
      </c>
    </row>
    <row r="27" spans="1:14" x14ac:dyDescent="0.25">
      <c r="A27" s="32"/>
      <c r="B27" s="61" t="s">
        <v>33</v>
      </c>
      <c r="C27" s="34"/>
      <c r="D27" s="35"/>
      <c r="E27" s="36"/>
      <c r="F27" s="37"/>
      <c r="G27" s="38"/>
      <c r="H27" s="39"/>
      <c r="J27" s="67"/>
      <c r="K27" s="68"/>
      <c r="M27" s="253" t="e">
        <f t="shared" si="2"/>
        <v>#DIV/0!</v>
      </c>
      <c r="N27" s="254" t="e">
        <f t="shared" si="3"/>
        <v>#DIV/0!</v>
      </c>
    </row>
    <row r="28" spans="1:14" x14ac:dyDescent="0.25">
      <c r="A28" s="32"/>
      <c r="B28" s="33" t="s">
        <v>34</v>
      </c>
      <c r="C28" s="34"/>
      <c r="D28" s="35"/>
      <c r="E28" s="36"/>
      <c r="F28" s="37">
        <v>30</v>
      </c>
      <c r="G28" s="38">
        <v>305.5</v>
      </c>
      <c r="H28" s="64">
        <v>15988209.5</v>
      </c>
      <c r="J28" s="40"/>
      <c r="K28" s="41"/>
      <c r="M28" s="253" t="e">
        <f t="shared" si="2"/>
        <v>#DIV/0!</v>
      </c>
      <c r="N28" s="254" t="e">
        <f t="shared" si="3"/>
        <v>#DIV/0!</v>
      </c>
    </row>
    <row r="29" spans="1:14" x14ac:dyDescent="0.25">
      <c r="A29" s="32">
        <v>20</v>
      </c>
      <c r="B29" s="33" t="s">
        <v>35</v>
      </c>
      <c r="C29" s="34">
        <v>0</v>
      </c>
      <c r="D29" s="35">
        <v>3</v>
      </c>
      <c r="E29" s="36">
        <f t="shared" ref="E29:E39" si="4">C29+D29</f>
        <v>3</v>
      </c>
      <c r="F29" s="37"/>
      <c r="G29" s="38"/>
      <c r="H29" s="36"/>
      <c r="J29" s="40"/>
      <c r="K29" s="41"/>
      <c r="M29" s="253" t="e">
        <f t="shared" si="2"/>
        <v>#DIV/0!</v>
      </c>
      <c r="N29" s="254" t="e">
        <f t="shared" si="3"/>
        <v>#DIV/0!</v>
      </c>
    </row>
    <row r="30" spans="1:14" x14ac:dyDescent="0.25">
      <c r="A30" s="60">
        <f t="shared" ref="A30:A39" si="5">A29+1</f>
        <v>21</v>
      </c>
      <c r="B30" s="61" t="s">
        <v>36</v>
      </c>
      <c r="C30" s="62">
        <v>8</v>
      </c>
      <c r="D30" s="63">
        <v>1</v>
      </c>
      <c r="E30" s="64">
        <f t="shared" si="4"/>
        <v>9</v>
      </c>
      <c r="F30" s="37">
        <v>7</v>
      </c>
      <c r="G30" s="38">
        <v>73</v>
      </c>
      <c r="H30" s="36">
        <v>3811942</v>
      </c>
      <c r="J30" s="40"/>
      <c r="K30" s="41"/>
      <c r="M30" s="253" t="e">
        <f t="shared" si="2"/>
        <v>#DIV/0!</v>
      </c>
      <c r="N30" s="254" t="e">
        <f t="shared" si="3"/>
        <v>#DIV/0!</v>
      </c>
    </row>
    <row r="31" spans="1:14" x14ac:dyDescent="0.25">
      <c r="A31" s="32">
        <f t="shared" si="5"/>
        <v>22</v>
      </c>
      <c r="B31" s="33" t="s">
        <v>37</v>
      </c>
      <c r="C31" s="34">
        <v>9</v>
      </c>
      <c r="D31" s="35">
        <v>3</v>
      </c>
      <c r="E31" s="36">
        <f t="shared" si="4"/>
        <v>12</v>
      </c>
      <c r="F31" s="37">
        <v>11</v>
      </c>
      <c r="G31" s="38">
        <v>117</v>
      </c>
      <c r="H31" s="36">
        <v>5971305</v>
      </c>
      <c r="J31" s="74"/>
      <c r="K31" s="68"/>
      <c r="M31" s="253" t="e">
        <f t="shared" si="2"/>
        <v>#DIV/0!</v>
      </c>
      <c r="N31" s="254" t="e">
        <f t="shared" si="3"/>
        <v>#DIV/0!</v>
      </c>
    </row>
    <row r="32" spans="1:14" x14ac:dyDescent="0.25">
      <c r="A32" s="32">
        <f t="shared" si="5"/>
        <v>23</v>
      </c>
      <c r="B32" s="33" t="s">
        <v>38</v>
      </c>
      <c r="C32" s="34">
        <v>10</v>
      </c>
      <c r="D32" s="35">
        <v>3</v>
      </c>
      <c r="E32" s="36">
        <f t="shared" si="4"/>
        <v>13</v>
      </c>
      <c r="F32" s="37">
        <v>10</v>
      </c>
      <c r="G32" s="38">
        <v>89</v>
      </c>
      <c r="H32" s="36">
        <v>4498715</v>
      </c>
      <c r="I32" s="48"/>
      <c r="J32" s="40"/>
      <c r="K32" s="41"/>
      <c r="L32" s="48"/>
      <c r="M32" s="253" t="e">
        <f t="shared" si="2"/>
        <v>#DIV/0!</v>
      </c>
      <c r="N32" s="254" t="e">
        <f t="shared" si="3"/>
        <v>#DIV/0!</v>
      </c>
    </row>
    <row r="33" spans="1:16" x14ac:dyDescent="0.25">
      <c r="A33" s="32">
        <f t="shared" si="5"/>
        <v>24</v>
      </c>
      <c r="B33" s="33" t="s">
        <v>39</v>
      </c>
      <c r="C33" s="34">
        <v>9</v>
      </c>
      <c r="D33" s="35">
        <v>0</v>
      </c>
      <c r="E33" s="36">
        <f t="shared" si="4"/>
        <v>9</v>
      </c>
      <c r="F33" s="37"/>
      <c r="G33" s="38"/>
      <c r="H33" s="36"/>
      <c r="I33" s="48"/>
      <c r="J33" s="40"/>
      <c r="K33" s="41"/>
      <c r="L33" s="48"/>
      <c r="M33" s="253" t="e">
        <f t="shared" si="2"/>
        <v>#DIV/0!</v>
      </c>
      <c r="N33" s="254" t="e">
        <f t="shared" si="3"/>
        <v>#DIV/0!</v>
      </c>
    </row>
    <row r="34" spans="1:16" x14ac:dyDescent="0.25">
      <c r="A34" s="32">
        <f t="shared" si="5"/>
        <v>25</v>
      </c>
      <c r="B34" s="33" t="s">
        <v>40</v>
      </c>
      <c r="C34" s="34">
        <v>1</v>
      </c>
      <c r="D34" s="35">
        <v>1</v>
      </c>
      <c r="E34" s="36">
        <f t="shared" si="4"/>
        <v>2</v>
      </c>
      <c r="F34" s="37">
        <v>2</v>
      </c>
      <c r="G34" s="38">
        <v>14</v>
      </c>
      <c r="H34" s="39">
        <v>725942</v>
      </c>
      <c r="I34" s="48"/>
      <c r="J34" s="40"/>
      <c r="K34" s="41"/>
      <c r="L34" s="48"/>
      <c r="M34" s="253" t="e">
        <f t="shared" si="2"/>
        <v>#DIV/0!</v>
      </c>
      <c r="N34" s="254" t="e">
        <f t="shared" si="3"/>
        <v>#DIV/0!</v>
      </c>
    </row>
    <row r="35" spans="1:16" x14ac:dyDescent="0.25">
      <c r="A35" s="32">
        <f t="shared" si="5"/>
        <v>26</v>
      </c>
      <c r="B35" s="33" t="s">
        <v>41</v>
      </c>
      <c r="C35" s="34">
        <v>5</v>
      </c>
      <c r="D35" s="35">
        <v>0</v>
      </c>
      <c r="E35" s="36">
        <f t="shared" si="4"/>
        <v>5</v>
      </c>
      <c r="F35" s="263">
        <v>4</v>
      </c>
      <c r="G35" s="38">
        <v>40</v>
      </c>
      <c r="H35" s="39">
        <v>1992937</v>
      </c>
      <c r="I35" s="48"/>
      <c r="J35" s="58"/>
      <c r="K35" s="59"/>
      <c r="L35" s="48"/>
      <c r="M35" s="253" t="e">
        <f t="shared" si="2"/>
        <v>#DIV/0!</v>
      </c>
      <c r="N35" s="254" t="e">
        <f t="shared" si="3"/>
        <v>#DIV/0!</v>
      </c>
    </row>
    <row r="36" spans="1:16" x14ac:dyDescent="0.25">
      <c r="A36" s="32">
        <f t="shared" si="5"/>
        <v>27</v>
      </c>
      <c r="B36" s="33" t="s">
        <v>42</v>
      </c>
      <c r="C36" s="34">
        <v>6</v>
      </c>
      <c r="D36" s="35">
        <v>0</v>
      </c>
      <c r="E36" s="36">
        <f t="shared" si="4"/>
        <v>6</v>
      </c>
      <c r="F36" s="37">
        <v>1</v>
      </c>
      <c r="G36" s="38">
        <v>11</v>
      </c>
      <c r="H36" s="39">
        <v>598248</v>
      </c>
      <c r="J36" s="40"/>
      <c r="K36" s="41"/>
      <c r="M36" s="253" t="e">
        <f t="shared" si="2"/>
        <v>#DIV/0!</v>
      </c>
      <c r="N36" s="254" t="e">
        <f t="shared" si="3"/>
        <v>#DIV/0!</v>
      </c>
    </row>
    <row r="37" spans="1:16" x14ac:dyDescent="0.25">
      <c r="A37" s="32">
        <f t="shared" si="5"/>
        <v>28</v>
      </c>
      <c r="B37" s="44" t="s">
        <v>43</v>
      </c>
      <c r="C37" s="45">
        <v>1</v>
      </c>
      <c r="D37" s="46">
        <v>15</v>
      </c>
      <c r="E37" s="36">
        <f t="shared" si="4"/>
        <v>16</v>
      </c>
      <c r="F37" s="37">
        <v>13</v>
      </c>
      <c r="G37" s="72">
        <v>375</v>
      </c>
      <c r="H37" s="64">
        <v>18170532</v>
      </c>
      <c r="J37" s="58"/>
      <c r="K37" s="59"/>
      <c r="M37" s="253" t="e">
        <f t="shared" si="2"/>
        <v>#DIV/0!</v>
      </c>
      <c r="N37" s="254" t="e">
        <f t="shared" si="3"/>
        <v>#DIV/0!</v>
      </c>
    </row>
    <row r="38" spans="1:16" x14ac:dyDescent="0.25">
      <c r="A38" s="32">
        <f t="shared" si="5"/>
        <v>29</v>
      </c>
      <c r="B38" s="33" t="s">
        <v>44</v>
      </c>
      <c r="C38" s="34">
        <v>4</v>
      </c>
      <c r="D38" s="35">
        <v>3</v>
      </c>
      <c r="E38" s="36">
        <f t="shared" si="4"/>
        <v>7</v>
      </c>
      <c r="F38" s="37">
        <v>4</v>
      </c>
      <c r="G38" s="38">
        <v>43</v>
      </c>
      <c r="H38" s="36">
        <v>2089739</v>
      </c>
      <c r="J38" s="58"/>
      <c r="K38" s="59"/>
      <c r="M38" s="253" t="e">
        <f t="shared" si="2"/>
        <v>#DIV/0!</v>
      </c>
      <c r="N38" s="254" t="e">
        <f t="shared" si="3"/>
        <v>#DIV/0!</v>
      </c>
    </row>
    <row r="39" spans="1:16" x14ac:dyDescent="0.25">
      <c r="A39" s="32">
        <f t="shared" si="5"/>
        <v>30</v>
      </c>
      <c r="B39" s="44" t="s">
        <v>45</v>
      </c>
      <c r="C39" s="34">
        <v>1</v>
      </c>
      <c r="D39" s="35">
        <v>0</v>
      </c>
      <c r="E39" s="36">
        <f t="shared" si="4"/>
        <v>1</v>
      </c>
      <c r="F39" s="37"/>
      <c r="G39" s="38"/>
      <c r="H39" s="36"/>
      <c r="J39" s="58"/>
      <c r="K39" s="59"/>
      <c r="M39" s="253" t="e">
        <f t="shared" si="2"/>
        <v>#DIV/0!</v>
      </c>
      <c r="N39" s="254" t="e">
        <f t="shared" si="3"/>
        <v>#DIV/0!</v>
      </c>
    </row>
    <row r="40" spans="1:16" ht="15.75" thickBot="1" x14ac:dyDescent="0.3">
      <c r="A40" s="75"/>
      <c r="B40" s="76"/>
      <c r="C40" s="45"/>
      <c r="D40" s="46"/>
      <c r="E40" s="77"/>
      <c r="F40" s="78"/>
      <c r="G40" s="79"/>
      <c r="H40" s="77"/>
      <c r="J40" s="81"/>
      <c r="K40" s="82"/>
      <c r="M40" s="83"/>
      <c r="N40" s="84"/>
    </row>
    <row r="41" spans="1:16" ht="15.75" thickBot="1" x14ac:dyDescent="0.3">
      <c r="A41" s="85"/>
      <c r="B41" s="86" t="s">
        <v>46</v>
      </c>
      <c r="C41" s="87">
        <f>SUM(C8:C39)</f>
        <v>168</v>
      </c>
      <c r="D41" s="88">
        <f>SUM(D8:D39)</f>
        <v>95</v>
      </c>
      <c r="E41" s="89">
        <f>SUM(E8:E38)</f>
        <v>262</v>
      </c>
      <c r="F41" s="90">
        <f t="shared" ref="F41:H41" si="6">SUM(F8:F40)</f>
        <v>149</v>
      </c>
      <c r="G41" s="91">
        <f t="shared" si="6"/>
        <v>2418</v>
      </c>
      <c r="H41" s="92">
        <f t="shared" si="6"/>
        <v>115239461</v>
      </c>
      <c r="J41" s="94">
        <f>SUM(J8:J40)</f>
        <v>814</v>
      </c>
      <c r="K41" s="95">
        <f>SUM(K8:K40)</f>
        <v>40595601.641618498</v>
      </c>
      <c r="M41" s="96">
        <f>G41/J41</f>
        <v>2.9705159705159705</v>
      </c>
      <c r="N41" s="97">
        <f>H41/K41</f>
        <v>2.8387178989818649</v>
      </c>
    </row>
    <row r="42" spans="1:16" x14ac:dyDescent="0.25">
      <c r="A42" s="60"/>
      <c r="B42" s="98"/>
      <c r="C42" s="62"/>
      <c r="D42" s="63"/>
      <c r="E42" s="64"/>
      <c r="F42" s="99"/>
      <c r="G42" s="72"/>
      <c r="H42" s="64"/>
      <c r="J42" s="67"/>
      <c r="K42" s="101"/>
      <c r="M42" s="69"/>
      <c r="N42" s="70"/>
    </row>
    <row r="43" spans="1:16" x14ac:dyDescent="0.25">
      <c r="A43" s="32"/>
      <c r="B43" s="102"/>
      <c r="C43" s="34"/>
      <c r="D43" s="35"/>
      <c r="E43" s="36"/>
      <c r="F43" s="71"/>
      <c r="G43" s="38"/>
      <c r="H43" s="38"/>
      <c r="J43" s="40"/>
      <c r="K43" s="103"/>
      <c r="M43" s="42"/>
      <c r="N43" s="104"/>
    </row>
    <row r="44" spans="1:16" x14ac:dyDescent="0.25">
      <c r="A44" s="32"/>
      <c r="B44" s="105"/>
      <c r="C44" s="34"/>
      <c r="D44" s="35"/>
      <c r="E44" s="36"/>
      <c r="F44" s="37"/>
      <c r="G44" s="72"/>
      <c r="H44" s="64"/>
      <c r="J44" s="67"/>
      <c r="K44" s="101"/>
      <c r="M44" s="42"/>
      <c r="N44" s="104"/>
    </row>
    <row r="45" spans="1:16" x14ac:dyDescent="0.25">
      <c r="A45" s="32">
        <v>1</v>
      </c>
      <c r="B45" s="33" t="s">
        <v>47</v>
      </c>
      <c r="C45" s="34">
        <v>4</v>
      </c>
      <c r="D45" s="35">
        <v>4</v>
      </c>
      <c r="E45" s="36">
        <f t="shared" ref="E45:E50" si="7">C45+D45</f>
        <v>8</v>
      </c>
      <c r="F45" s="37">
        <v>1</v>
      </c>
      <c r="G45" s="38">
        <v>7</v>
      </c>
      <c r="H45" s="36">
        <v>354424</v>
      </c>
      <c r="J45" s="106"/>
      <c r="K45" s="68"/>
      <c r="M45" s="42" t="e">
        <f>G45/J45</f>
        <v>#DIV/0!</v>
      </c>
      <c r="N45" s="254" t="e">
        <f>H45/K45</f>
        <v>#DIV/0!</v>
      </c>
    </row>
    <row r="46" spans="1:16" x14ac:dyDescent="0.25">
      <c r="A46" s="32">
        <v>2</v>
      </c>
      <c r="B46" s="33" t="s">
        <v>48</v>
      </c>
      <c r="C46" s="34">
        <v>8</v>
      </c>
      <c r="D46" s="35">
        <v>1</v>
      </c>
      <c r="E46" s="36">
        <f t="shared" si="7"/>
        <v>9</v>
      </c>
      <c r="F46" s="37">
        <v>5</v>
      </c>
      <c r="G46" s="38">
        <v>80</v>
      </c>
      <c r="H46" s="36">
        <v>4270400</v>
      </c>
      <c r="I46" s="48"/>
      <c r="J46" s="106"/>
      <c r="K46" s="107"/>
      <c r="L46" s="48"/>
      <c r="M46" s="42" t="e">
        <f t="shared" ref="M46:M50" si="8">G46/J46</f>
        <v>#DIV/0!</v>
      </c>
      <c r="N46" s="254" t="e">
        <f t="shared" ref="N46:N50" si="9">H46/K46</f>
        <v>#DIV/0!</v>
      </c>
    </row>
    <row r="47" spans="1:16" x14ac:dyDescent="0.25">
      <c r="A47" s="32">
        <v>3</v>
      </c>
      <c r="B47" s="33" t="s">
        <v>49</v>
      </c>
      <c r="C47" s="34">
        <v>13</v>
      </c>
      <c r="D47" s="35">
        <v>3</v>
      </c>
      <c r="E47" s="36">
        <f t="shared" si="7"/>
        <v>16</v>
      </c>
      <c r="F47" s="37">
        <v>13</v>
      </c>
      <c r="G47" s="38">
        <v>268.5</v>
      </c>
      <c r="H47" s="36">
        <v>13744755.5</v>
      </c>
      <c r="J47" s="106">
        <v>792</v>
      </c>
      <c r="K47" s="107">
        <v>40072688.219653182</v>
      </c>
      <c r="M47" s="42">
        <f t="shared" si="8"/>
        <v>0.33901515151515149</v>
      </c>
      <c r="N47" s="43">
        <f t="shared" si="9"/>
        <v>0.34299559402303947</v>
      </c>
    </row>
    <row r="48" spans="1:16" x14ac:dyDescent="0.25">
      <c r="A48" s="32">
        <v>4</v>
      </c>
      <c r="B48" s="33" t="s">
        <v>50</v>
      </c>
      <c r="C48" s="34">
        <v>14</v>
      </c>
      <c r="D48" s="35">
        <v>4</v>
      </c>
      <c r="E48" s="36">
        <f t="shared" si="7"/>
        <v>18</v>
      </c>
      <c r="F48" s="37">
        <v>4</v>
      </c>
      <c r="G48" s="38">
        <v>63.5</v>
      </c>
      <c r="H48" s="36">
        <v>3010700</v>
      </c>
      <c r="J48" s="106"/>
      <c r="K48" s="68"/>
      <c r="M48" s="42" t="e">
        <f t="shared" si="8"/>
        <v>#DIV/0!</v>
      </c>
      <c r="N48" s="254" t="e">
        <f t="shared" si="9"/>
        <v>#DIV/0!</v>
      </c>
      <c r="O48" s="110"/>
      <c r="P48" s="111"/>
    </row>
    <row r="49" spans="1:16" x14ac:dyDescent="0.25">
      <c r="A49" s="32">
        <v>5</v>
      </c>
      <c r="B49" s="33" t="s">
        <v>51</v>
      </c>
      <c r="C49" s="34">
        <v>24</v>
      </c>
      <c r="D49" s="35">
        <v>6</v>
      </c>
      <c r="E49" s="36">
        <f t="shared" si="7"/>
        <v>30</v>
      </c>
      <c r="F49" s="37">
        <v>11</v>
      </c>
      <c r="G49" s="38">
        <v>169.5</v>
      </c>
      <c r="H49" s="36">
        <v>8213714</v>
      </c>
      <c r="J49" s="112"/>
      <c r="K49" s="113"/>
      <c r="M49" s="42" t="e">
        <f t="shared" si="8"/>
        <v>#DIV/0!</v>
      </c>
      <c r="N49" s="254" t="e">
        <f t="shared" si="9"/>
        <v>#DIV/0!</v>
      </c>
      <c r="O49" s="110"/>
      <c r="P49" s="111"/>
    </row>
    <row r="50" spans="1:16" x14ac:dyDescent="0.25">
      <c r="A50" s="32">
        <v>6</v>
      </c>
      <c r="B50" s="33" t="s">
        <v>52</v>
      </c>
      <c r="C50" s="34">
        <v>17</v>
      </c>
      <c r="D50" s="35">
        <v>2</v>
      </c>
      <c r="E50" s="36">
        <f t="shared" si="7"/>
        <v>19</v>
      </c>
      <c r="F50" s="71">
        <v>9</v>
      </c>
      <c r="G50" s="72">
        <v>92</v>
      </c>
      <c r="H50" s="64">
        <v>4540698</v>
      </c>
      <c r="J50" s="112"/>
      <c r="K50" s="113"/>
      <c r="M50" s="42" t="e">
        <f t="shared" si="8"/>
        <v>#DIV/0!</v>
      </c>
      <c r="N50" s="254" t="e">
        <f t="shared" si="9"/>
        <v>#DIV/0!</v>
      </c>
    </row>
    <row r="51" spans="1:16" ht="15.75" thickBot="1" x14ac:dyDescent="0.3">
      <c r="A51" s="75"/>
      <c r="B51" s="76"/>
      <c r="C51" s="45"/>
      <c r="D51" s="46"/>
      <c r="E51" s="77"/>
      <c r="F51" s="78"/>
      <c r="G51" s="79"/>
      <c r="H51" s="77"/>
      <c r="J51" s="115"/>
      <c r="K51" s="116"/>
      <c r="M51" s="83"/>
      <c r="N51" s="117"/>
    </row>
    <row r="52" spans="1:16" ht="15.75" thickBot="1" x14ac:dyDescent="0.3">
      <c r="A52" s="118"/>
      <c r="B52" s="119" t="s">
        <v>53</v>
      </c>
      <c r="C52" s="120">
        <f t="shared" ref="C52:H52" si="10">SUM(C45:C50)</f>
        <v>80</v>
      </c>
      <c r="D52" s="121">
        <f t="shared" si="10"/>
        <v>20</v>
      </c>
      <c r="E52" s="122">
        <f t="shared" si="10"/>
        <v>100</v>
      </c>
      <c r="F52" s="123">
        <f t="shared" si="10"/>
        <v>43</v>
      </c>
      <c r="G52" s="124">
        <f t="shared" si="10"/>
        <v>680.5</v>
      </c>
      <c r="H52" s="125">
        <f t="shared" si="10"/>
        <v>34134691.5</v>
      </c>
      <c r="J52" s="127">
        <f>SUM(J45:J51)</f>
        <v>792</v>
      </c>
      <c r="K52" s="127">
        <f>SUM(K45:K51)</f>
        <v>40072688.219653182</v>
      </c>
      <c r="M52" s="128">
        <f>G52/J52</f>
        <v>0.85921717171717171</v>
      </c>
      <c r="N52" s="129">
        <f>H52/K52</f>
        <v>0.85181935668740683</v>
      </c>
      <c r="O52" s="130"/>
      <c r="P52" s="130"/>
    </row>
    <row r="53" spans="1:16" x14ac:dyDescent="0.25">
      <c r="A53" s="60"/>
      <c r="B53" s="98"/>
      <c r="C53" s="62"/>
      <c r="D53" s="63"/>
      <c r="E53" s="131"/>
      <c r="F53" s="99"/>
      <c r="G53" s="72"/>
      <c r="H53" s="64"/>
      <c r="J53" s="40"/>
      <c r="K53" s="103"/>
      <c r="M53" s="69"/>
      <c r="N53" s="70"/>
    </row>
    <row r="54" spans="1:16" x14ac:dyDescent="0.25">
      <c r="A54" s="32"/>
      <c r="B54" s="102"/>
      <c r="C54" s="34"/>
      <c r="D54" s="35"/>
      <c r="E54" s="64"/>
      <c r="F54" s="133"/>
      <c r="G54" s="72"/>
      <c r="H54" s="72"/>
      <c r="J54" s="40"/>
      <c r="K54" s="103"/>
      <c r="M54" s="42"/>
      <c r="N54" s="104"/>
    </row>
    <row r="55" spans="1:16" x14ac:dyDescent="0.25">
      <c r="A55" s="32"/>
      <c r="B55" s="105"/>
      <c r="C55" s="34"/>
      <c r="D55" s="35"/>
      <c r="E55" s="36"/>
      <c r="F55" s="71"/>
      <c r="G55" s="72"/>
      <c r="H55" s="64"/>
      <c r="J55" s="40"/>
      <c r="K55" s="103"/>
      <c r="M55" s="42"/>
      <c r="N55" s="104"/>
    </row>
    <row r="56" spans="1:16" x14ac:dyDescent="0.25">
      <c r="A56" s="32">
        <v>1</v>
      </c>
      <c r="B56" s="33" t="s">
        <v>54</v>
      </c>
      <c r="C56" s="34">
        <v>2</v>
      </c>
      <c r="D56" s="35">
        <v>3</v>
      </c>
      <c r="E56" s="36">
        <f t="shared" ref="E56:E62" si="11">C56+D56</f>
        <v>5</v>
      </c>
      <c r="F56" s="37">
        <v>5</v>
      </c>
      <c r="G56" s="38">
        <v>218.5</v>
      </c>
      <c r="H56" s="36">
        <v>10766099.5</v>
      </c>
      <c r="I56" s="48"/>
      <c r="J56" s="135">
        <v>325</v>
      </c>
      <c r="K56" s="136">
        <v>12862569.150289018</v>
      </c>
      <c r="L56" s="48"/>
      <c r="M56" s="42">
        <f>G56/J56</f>
        <v>0.67230769230769227</v>
      </c>
      <c r="N56" s="43">
        <f>H56/K56</f>
        <v>0.83701003852392031</v>
      </c>
    </row>
    <row r="57" spans="1:16" x14ac:dyDescent="0.25">
      <c r="A57" s="32">
        <f>A56+1</f>
        <v>2</v>
      </c>
      <c r="B57" s="44" t="s">
        <v>55</v>
      </c>
      <c r="C57" s="45">
        <v>0</v>
      </c>
      <c r="D57" s="46">
        <v>0</v>
      </c>
      <c r="E57" s="36">
        <f t="shared" si="11"/>
        <v>0</v>
      </c>
      <c r="F57" s="37">
        <v>2</v>
      </c>
      <c r="G57" s="79">
        <v>7.5</v>
      </c>
      <c r="H57" s="77">
        <v>372486</v>
      </c>
      <c r="I57" s="48"/>
      <c r="J57" s="40"/>
      <c r="K57" s="103"/>
      <c r="L57" s="48"/>
      <c r="M57" s="42" t="e">
        <f t="shared" ref="M57:M61" si="12">G57/J57</f>
        <v>#DIV/0!</v>
      </c>
      <c r="N57" s="43" t="e">
        <f t="shared" ref="N57:N61" si="13">H57/K57</f>
        <v>#DIV/0!</v>
      </c>
    </row>
    <row r="58" spans="1:16" x14ac:dyDescent="0.25">
      <c r="A58" s="32">
        <f>A57+1</f>
        <v>3</v>
      </c>
      <c r="B58" s="33" t="s">
        <v>56</v>
      </c>
      <c r="C58" s="34">
        <v>7</v>
      </c>
      <c r="D58" s="35">
        <v>0</v>
      </c>
      <c r="E58" s="36">
        <f t="shared" si="11"/>
        <v>7</v>
      </c>
      <c r="F58" s="37">
        <v>1</v>
      </c>
      <c r="G58" s="79">
        <v>44</v>
      </c>
      <c r="H58" s="77">
        <v>2396412</v>
      </c>
      <c r="I58" s="48"/>
      <c r="J58" s="40"/>
      <c r="K58" s="103"/>
      <c r="L58" s="48"/>
      <c r="M58" s="42" t="e">
        <f t="shared" si="12"/>
        <v>#DIV/0!</v>
      </c>
      <c r="N58" s="43" t="e">
        <f t="shared" si="13"/>
        <v>#DIV/0!</v>
      </c>
    </row>
    <row r="59" spans="1:16" x14ac:dyDescent="0.25">
      <c r="A59" s="32">
        <f>A58+1</f>
        <v>4</v>
      </c>
      <c r="B59" s="33" t="s">
        <v>57</v>
      </c>
      <c r="C59" s="34">
        <v>9</v>
      </c>
      <c r="D59" s="35">
        <v>6</v>
      </c>
      <c r="E59" s="36">
        <f t="shared" si="11"/>
        <v>15</v>
      </c>
      <c r="F59" s="37">
        <v>15</v>
      </c>
      <c r="G59" s="38">
        <v>653.5</v>
      </c>
      <c r="H59" s="36">
        <v>32088183</v>
      </c>
      <c r="J59" s="40">
        <v>680</v>
      </c>
      <c r="K59" s="103">
        <v>28748249.624277458</v>
      </c>
      <c r="M59" s="42">
        <f t="shared" si="12"/>
        <v>0.96102941176470591</v>
      </c>
      <c r="N59" s="43">
        <f t="shared" si="13"/>
        <v>1.1161786689406654</v>
      </c>
    </row>
    <row r="60" spans="1:16" x14ac:dyDescent="0.25">
      <c r="A60" s="32">
        <f>A59+1</f>
        <v>5</v>
      </c>
      <c r="B60" s="33" t="s">
        <v>58</v>
      </c>
      <c r="C60" s="34">
        <v>2</v>
      </c>
      <c r="D60" s="35">
        <v>0</v>
      </c>
      <c r="E60" s="36">
        <f t="shared" si="11"/>
        <v>2</v>
      </c>
      <c r="F60" s="37"/>
      <c r="G60" s="38"/>
      <c r="H60" s="36"/>
      <c r="I60" s="48"/>
      <c r="J60" s="40"/>
      <c r="K60" s="41"/>
      <c r="L60" s="48"/>
      <c r="M60" s="42" t="e">
        <f t="shared" si="12"/>
        <v>#DIV/0!</v>
      </c>
      <c r="N60" s="43" t="e">
        <f t="shared" si="13"/>
        <v>#DIV/0!</v>
      </c>
    </row>
    <row r="61" spans="1:16" x14ac:dyDescent="0.25">
      <c r="A61" s="75">
        <f>A60+1</f>
        <v>6</v>
      </c>
      <c r="B61" s="44" t="s">
        <v>59</v>
      </c>
      <c r="C61" s="45">
        <v>2</v>
      </c>
      <c r="D61" s="46">
        <v>0</v>
      </c>
      <c r="E61" s="36">
        <f t="shared" si="11"/>
        <v>2</v>
      </c>
      <c r="F61" s="78"/>
      <c r="G61" s="79"/>
      <c r="H61" s="77"/>
      <c r="I61" s="48"/>
      <c r="J61" s="137">
        <v>12</v>
      </c>
      <c r="K61" s="55">
        <v>485318.73410404625</v>
      </c>
      <c r="L61" s="48"/>
      <c r="M61" s="42">
        <f t="shared" si="12"/>
        <v>0</v>
      </c>
      <c r="N61" s="43">
        <f t="shared" si="13"/>
        <v>0</v>
      </c>
    </row>
    <row r="62" spans="1:16" x14ac:dyDescent="0.25">
      <c r="A62" s="32">
        <v>7</v>
      </c>
      <c r="B62" s="33" t="s">
        <v>60</v>
      </c>
      <c r="C62" s="34">
        <v>3</v>
      </c>
      <c r="D62" s="35">
        <v>1</v>
      </c>
      <c r="E62" s="36">
        <f t="shared" si="11"/>
        <v>4</v>
      </c>
      <c r="F62" s="37"/>
      <c r="G62" s="38"/>
      <c r="H62" s="36"/>
      <c r="J62" s="138"/>
      <c r="K62" s="139"/>
      <c r="M62" s="42" t="e">
        <f t="shared" ref="M62" si="14">G62/J62</f>
        <v>#DIV/0!</v>
      </c>
      <c r="N62" s="43" t="e">
        <f t="shared" ref="N62" si="15">H62/K62</f>
        <v>#DIV/0!</v>
      </c>
    </row>
    <row r="63" spans="1:16" ht="15.75" thickBot="1" x14ac:dyDescent="0.3">
      <c r="A63" s="32"/>
      <c r="B63" s="33"/>
      <c r="C63" s="34"/>
      <c r="D63" s="35"/>
      <c r="E63" s="36"/>
      <c r="F63" s="37"/>
      <c r="G63" s="79"/>
      <c r="H63" s="77"/>
      <c r="J63" s="138"/>
      <c r="K63" s="139"/>
      <c r="M63" s="42"/>
      <c r="N63" s="43"/>
    </row>
    <row r="64" spans="1:16" ht="15.75" thickBot="1" x14ac:dyDescent="0.3">
      <c r="A64" s="140"/>
      <c r="B64" s="141" t="s">
        <v>61</v>
      </c>
      <c r="C64" s="142">
        <f t="shared" ref="C64:H64" si="16">SUM(C56:C62)</f>
        <v>25</v>
      </c>
      <c r="D64" s="143">
        <f t="shared" si="16"/>
        <v>10</v>
      </c>
      <c r="E64" s="143">
        <f t="shared" si="16"/>
        <v>35</v>
      </c>
      <c r="F64" s="144">
        <f t="shared" si="16"/>
        <v>23</v>
      </c>
      <c r="G64" s="145">
        <f t="shared" si="16"/>
        <v>923.5</v>
      </c>
      <c r="H64" s="264">
        <f t="shared" si="16"/>
        <v>45623180.5</v>
      </c>
      <c r="I64" s="148">
        <f t="shared" ref="I64:K64" si="17">SUM(I56:I62)</f>
        <v>0</v>
      </c>
      <c r="J64" s="147">
        <f t="shared" si="17"/>
        <v>1017</v>
      </c>
      <c r="K64" s="147">
        <f t="shared" si="17"/>
        <v>42096137.508670516</v>
      </c>
      <c r="M64" s="149">
        <f>G64/J64</f>
        <v>0.90806293018682405</v>
      </c>
      <c r="N64" s="150">
        <f>H64/K64</f>
        <v>1.0837854302096723</v>
      </c>
    </row>
    <row r="65" spans="1:14" x14ac:dyDescent="0.25">
      <c r="A65" s="60"/>
      <c r="B65" s="98"/>
      <c r="C65" s="62"/>
      <c r="D65" s="63"/>
      <c r="E65" s="64"/>
      <c r="F65" s="99"/>
      <c r="G65" s="72"/>
      <c r="H65" s="64"/>
      <c r="J65" s="40"/>
      <c r="K65" s="103"/>
      <c r="M65" s="69"/>
      <c r="N65" s="70"/>
    </row>
    <row r="66" spans="1:14" x14ac:dyDescent="0.25">
      <c r="A66" s="32"/>
      <c r="B66" s="102"/>
      <c r="C66" s="34"/>
      <c r="D66" s="35"/>
      <c r="E66" s="36"/>
      <c r="F66" s="151"/>
      <c r="G66" s="72"/>
      <c r="H66" s="72"/>
      <c r="J66" s="40"/>
      <c r="K66" s="103"/>
      <c r="M66" s="42"/>
      <c r="N66" s="104"/>
    </row>
    <row r="67" spans="1:14" x14ac:dyDescent="0.25">
      <c r="A67" s="32"/>
      <c r="B67" s="105"/>
      <c r="C67" s="34"/>
      <c r="D67" s="35"/>
      <c r="E67" s="36"/>
      <c r="F67" s="37"/>
      <c r="G67" s="72"/>
      <c r="H67" s="39"/>
      <c r="J67" s="40"/>
      <c r="K67" s="103"/>
      <c r="M67" s="42"/>
      <c r="N67" s="104"/>
    </row>
    <row r="68" spans="1:14" x14ac:dyDescent="0.25">
      <c r="A68" s="32">
        <v>1</v>
      </c>
      <c r="B68" s="33" t="s">
        <v>62</v>
      </c>
      <c r="C68" s="34">
        <v>6</v>
      </c>
      <c r="D68" s="35">
        <v>0</v>
      </c>
      <c r="E68" s="36">
        <f t="shared" ref="E68:E73" si="18">C68+D68</f>
        <v>6</v>
      </c>
      <c r="F68" s="37">
        <v>1</v>
      </c>
      <c r="G68" s="38">
        <v>21</v>
      </c>
      <c r="H68" s="39">
        <v>1143419</v>
      </c>
      <c r="J68" s="112">
        <v>16</v>
      </c>
      <c r="K68" s="113">
        <v>633510.72832369944</v>
      </c>
      <c r="M68" s="42">
        <f>G68/J68</f>
        <v>1.3125</v>
      </c>
      <c r="N68" s="43">
        <f>H68/K68</f>
        <v>1.8048928753354232</v>
      </c>
    </row>
    <row r="69" spans="1:14" x14ac:dyDescent="0.25">
      <c r="A69" s="32">
        <f>A68+1</f>
        <v>2</v>
      </c>
      <c r="B69" s="33" t="s">
        <v>63</v>
      </c>
      <c r="C69" s="34">
        <v>3</v>
      </c>
      <c r="D69" s="35">
        <v>0</v>
      </c>
      <c r="E69" s="36">
        <f t="shared" si="18"/>
        <v>3</v>
      </c>
      <c r="F69" s="37">
        <v>1</v>
      </c>
      <c r="G69" s="38">
        <v>3.5</v>
      </c>
      <c r="H69" s="39">
        <v>178545.5</v>
      </c>
      <c r="J69" s="112"/>
      <c r="K69" s="113"/>
      <c r="M69" s="42" t="e">
        <f t="shared" ref="M69:M82" si="19">G69/J69</f>
        <v>#DIV/0!</v>
      </c>
      <c r="N69" s="43" t="e">
        <f t="shared" ref="N69:N82" si="20">H69/K69</f>
        <v>#DIV/0!</v>
      </c>
    </row>
    <row r="70" spans="1:14" x14ac:dyDescent="0.25">
      <c r="A70" s="32">
        <f>A69+1</f>
        <v>3</v>
      </c>
      <c r="B70" s="33" t="s">
        <v>64</v>
      </c>
      <c r="C70" s="34">
        <v>4</v>
      </c>
      <c r="D70" s="35">
        <v>0</v>
      </c>
      <c r="E70" s="36">
        <f t="shared" si="18"/>
        <v>4</v>
      </c>
      <c r="F70" s="37"/>
      <c r="G70" s="38"/>
      <c r="H70" s="39"/>
      <c r="J70" s="112"/>
      <c r="K70" s="113"/>
      <c r="M70" s="42" t="e">
        <f t="shared" si="19"/>
        <v>#DIV/0!</v>
      </c>
      <c r="N70" s="43" t="e">
        <f t="shared" si="20"/>
        <v>#DIV/0!</v>
      </c>
    </row>
    <row r="71" spans="1:14" x14ac:dyDescent="0.25">
      <c r="A71" s="32">
        <f>A70+1</f>
        <v>4</v>
      </c>
      <c r="B71" s="33" t="s">
        <v>65</v>
      </c>
      <c r="C71" s="34">
        <v>5</v>
      </c>
      <c r="D71" s="35">
        <v>2</v>
      </c>
      <c r="E71" s="36">
        <f t="shared" si="18"/>
        <v>7</v>
      </c>
      <c r="F71" s="37">
        <v>1</v>
      </c>
      <c r="G71" s="38">
        <v>6.5</v>
      </c>
      <c r="H71" s="39">
        <v>303792</v>
      </c>
      <c r="J71" s="112">
        <v>30</v>
      </c>
      <c r="K71" s="113">
        <v>1403417.2716763006</v>
      </c>
      <c r="M71" s="42">
        <f t="shared" si="19"/>
        <v>0.21666666666666667</v>
      </c>
      <c r="N71" s="43">
        <f t="shared" si="20"/>
        <v>0.21646591226366915</v>
      </c>
    </row>
    <row r="72" spans="1:14" x14ac:dyDescent="0.25">
      <c r="A72" s="32">
        <f>A71+1</f>
        <v>5</v>
      </c>
      <c r="B72" s="33" t="s">
        <v>66</v>
      </c>
      <c r="C72" s="34">
        <v>2</v>
      </c>
      <c r="D72" s="35">
        <v>0</v>
      </c>
      <c r="E72" s="36">
        <f t="shared" si="18"/>
        <v>2</v>
      </c>
      <c r="F72" s="37">
        <v>1</v>
      </c>
      <c r="G72" s="38">
        <v>7</v>
      </c>
      <c r="H72" s="39">
        <v>402941</v>
      </c>
      <c r="I72" s="48"/>
      <c r="J72" s="40"/>
      <c r="K72" s="103"/>
      <c r="L72" s="48"/>
      <c r="M72" s="42" t="e">
        <f t="shared" si="19"/>
        <v>#DIV/0!</v>
      </c>
      <c r="N72" s="43" t="e">
        <f t="shared" si="20"/>
        <v>#DIV/0!</v>
      </c>
    </row>
    <row r="73" spans="1:14" x14ac:dyDescent="0.25">
      <c r="A73" s="32">
        <f>A72+1</f>
        <v>6</v>
      </c>
      <c r="B73" s="33" t="s">
        <v>67</v>
      </c>
      <c r="C73" s="34">
        <v>9</v>
      </c>
      <c r="D73" s="35">
        <v>2</v>
      </c>
      <c r="E73" s="36">
        <f t="shared" si="18"/>
        <v>11</v>
      </c>
      <c r="F73" s="37"/>
      <c r="G73" s="38"/>
      <c r="H73" s="39"/>
      <c r="J73" s="135">
        <v>330</v>
      </c>
      <c r="K73" s="136">
        <v>13341525.699421965</v>
      </c>
      <c r="M73" s="42">
        <f t="shared" si="19"/>
        <v>0</v>
      </c>
      <c r="N73" s="43">
        <f t="shared" si="20"/>
        <v>0</v>
      </c>
    </row>
    <row r="74" spans="1:14" s="48" customFormat="1" x14ac:dyDescent="0.25">
      <c r="A74" s="51"/>
      <c r="B74" s="57" t="s">
        <v>68</v>
      </c>
      <c r="C74" s="53"/>
      <c r="D74" s="54"/>
      <c r="E74" s="55"/>
      <c r="F74" s="261"/>
      <c r="G74" s="262"/>
      <c r="H74" s="56"/>
      <c r="J74" s="40"/>
      <c r="K74" s="103"/>
      <c r="M74" s="42" t="e">
        <f t="shared" si="19"/>
        <v>#DIV/0!</v>
      </c>
      <c r="N74" s="43" t="e">
        <f t="shared" si="20"/>
        <v>#DIV/0!</v>
      </c>
    </row>
    <row r="75" spans="1:14" x14ac:dyDescent="0.25">
      <c r="A75" s="32"/>
      <c r="B75" s="57" t="s">
        <v>69</v>
      </c>
      <c r="C75" s="34"/>
      <c r="D75" s="35"/>
      <c r="E75" s="36"/>
      <c r="F75" s="265">
        <v>7</v>
      </c>
      <c r="G75" s="266">
        <v>72</v>
      </c>
      <c r="H75" s="267">
        <v>3937931</v>
      </c>
      <c r="J75" s="40"/>
      <c r="K75" s="103"/>
      <c r="M75" s="42" t="e">
        <f t="shared" si="19"/>
        <v>#DIV/0!</v>
      </c>
      <c r="N75" s="43" t="e">
        <f t="shared" si="20"/>
        <v>#DIV/0!</v>
      </c>
    </row>
    <row r="76" spans="1:14" x14ac:dyDescent="0.25">
      <c r="A76" s="32">
        <v>7</v>
      </c>
      <c r="B76" s="33" t="s">
        <v>70</v>
      </c>
      <c r="C76" s="34">
        <v>0</v>
      </c>
      <c r="D76" s="35">
        <v>0</v>
      </c>
      <c r="E76" s="36">
        <f>C76+D76</f>
        <v>0</v>
      </c>
      <c r="F76" s="37"/>
      <c r="G76" s="38"/>
      <c r="H76" s="36"/>
      <c r="J76" s="40"/>
      <c r="K76" s="103"/>
      <c r="M76" s="42" t="e">
        <f t="shared" si="19"/>
        <v>#DIV/0!</v>
      </c>
      <c r="N76" s="43" t="e">
        <f t="shared" si="20"/>
        <v>#DIV/0!</v>
      </c>
    </row>
    <row r="77" spans="1:14" x14ac:dyDescent="0.25">
      <c r="A77" s="32">
        <f>A76+1</f>
        <v>8</v>
      </c>
      <c r="B77" s="33" t="s">
        <v>71</v>
      </c>
      <c r="C77" s="34">
        <v>3</v>
      </c>
      <c r="D77" s="35">
        <v>0</v>
      </c>
      <c r="E77" s="36">
        <f>C77+D77</f>
        <v>3</v>
      </c>
      <c r="F77" s="37"/>
      <c r="G77" s="38"/>
      <c r="H77" s="39"/>
      <c r="J77" s="112"/>
      <c r="K77" s="113"/>
      <c r="M77" s="42" t="e">
        <f t="shared" si="19"/>
        <v>#DIV/0!</v>
      </c>
      <c r="N77" s="43" t="e">
        <f t="shared" si="20"/>
        <v>#DIV/0!</v>
      </c>
    </row>
    <row r="78" spans="1:14" x14ac:dyDescent="0.25">
      <c r="A78" s="32">
        <f>A77+1</f>
        <v>9</v>
      </c>
      <c r="B78" s="33" t="s">
        <v>72</v>
      </c>
      <c r="C78" s="34">
        <v>4</v>
      </c>
      <c r="D78" s="35">
        <v>1</v>
      </c>
      <c r="E78" s="36">
        <f>C78+D78</f>
        <v>5</v>
      </c>
      <c r="F78" s="37"/>
      <c r="G78" s="38"/>
      <c r="H78" s="152"/>
      <c r="J78" s="112">
        <v>35</v>
      </c>
      <c r="K78" s="113">
        <v>1745620.1849710983</v>
      </c>
      <c r="M78" s="42">
        <f t="shared" si="19"/>
        <v>0</v>
      </c>
      <c r="N78" s="43">
        <f t="shared" si="20"/>
        <v>0</v>
      </c>
    </row>
    <row r="79" spans="1:14" s="48" customFormat="1" x14ac:dyDescent="0.25">
      <c r="A79" s="51">
        <f>A78+1</f>
        <v>10</v>
      </c>
      <c r="B79" s="154" t="s">
        <v>73</v>
      </c>
      <c r="C79" s="53">
        <v>5</v>
      </c>
      <c r="D79" s="54">
        <v>1</v>
      </c>
      <c r="E79" s="55">
        <f>C79+D79</f>
        <v>6</v>
      </c>
      <c r="F79" s="261"/>
      <c r="G79" s="262"/>
      <c r="H79" s="55"/>
      <c r="J79" s="112">
        <v>528</v>
      </c>
      <c r="K79" s="113">
        <v>20198726.289017342</v>
      </c>
      <c r="M79" s="42">
        <f t="shared" si="19"/>
        <v>0</v>
      </c>
      <c r="N79" s="43">
        <f t="shared" si="20"/>
        <v>0</v>
      </c>
    </row>
    <row r="80" spans="1:14" s="48" customFormat="1" x14ac:dyDescent="0.25">
      <c r="A80" s="51"/>
      <c r="B80" s="154" t="s">
        <v>74</v>
      </c>
      <c r="C80" s="53"/>
      <c r="D80" s="54"/>
      <c r="E80" s="55"/>
      <c r="F80" s="261">
        <v>6</v>
      </c>
      <c r="G80" s="262">
        <v>320.5</v>
      </c>
      <c r="H80" s="55">
        <v>15740372.101156071</v>
      </c>
      <c r="J80" s="112"/>
      <c r="K80" s="113"/>
      <c r="M80" s="42" t="e">
        <f t="shared" si="19"/>
        <v>#DIV/0!</v>
      </c>
      <c r="N80" s="43" t="e">
        <f t="shared" si="20"/>
        <v>#DIV/0!</v>
      </c>
    </row>
    <row r="81" spans="1:14" s="48" customFormat="1" x14ac:dyDescent="0.25">
      <c r="A81" s="51"/>
      <c r="B81" s="156" t="s">
        <v>75</v>
      </c>
      <c r="C81" s="157"/>
      <c r="D81" s="158"/>
      <c r="E81" s="55"/>
      <c r="F81" s="265">
        <v>1</v>
      </c>
      <c r="G81" s="38">
        <v>27</v>
      </c>
      <c r="H81" s="39">
        <v>1632747.3988439306</v>
      </c>
      <c r="J81" s="112"/>
      <c r="K81" s="113"/>
      <c r="M81" s="42" t="e">
        <f t="shared" si="19"/>
        <v>#DIV/0!</v>
      </c>
      <c r="N81" s="43" t="e">
        <f t="shared" si="20"/>
        <v>#DIV/0!</v>
      </c>
    </row>
    <row r="82" spans="1:14" x14ac:dyDescent="0.25">
      <c r="A82" s="32">
        <f>A79+1</f>
        <v>11</v>
      </c>
      <c r="B82" s="33" t="s">
        <v>76</v>
      </c>
      <c r="C82" s="53">
        <v>0</v>
      </c>
      <c r="D82" s="54">
        <v>0</v>
      </c>
      <c r="E82" s="36">
        <f>C82+D82</f>
        <v>0</v>
      </c>
      <c r="F82" s="37"/>
      <c r="G82" s="38"/>
      <c r="H82" s="39"/>
      <c r="J82" s="112"/>
      <c r="K82" s="113"/>
      <c r="M82" s="42" t="e">
        <f t="shared" si="19"/>
        <v>#DIV/0!</v>
      </c>
      <c r="N82" s="43" t="e">
        <f t="shared" si="20"/>
        <v>#DIV/0!</v>
      </c>
    </row>
    <row r="83" spans="1:14" ht="15.75" thickBot="1" x14ac:dyDescent="0.3">
      <c r="A83" s="159"/>
      <c r="B83" s="76"/>
      <c r="C83" s="45"/>
      <c r="D83" s="46"/>
      <c r="E83" s="77"/>
      <c r="F83" s="78"/>
      <c r="G83" s="46"/>
      <c r="H83" s="77"/>
      <c r="J83" s="137"/>
      <c r="K83" s="116"/>
      <c r="M83" s="83"/>
      <c r="N83" s="117"/>
    </row>
    <row r="84" spans="1:14" ht="15.75" thickBot="1" x14ac:dyDescent="0.3">
      <c r="A84" s="160"/>
      <c r="B84" s="161" t="s">
        <v>77</v>
      </c>
      <c r="C84" s="162">
        <f t="shared" ref="C84:H84" si="21">SUM(C67:C82)</f>
        <v>41</v>
      </c>
      <c r="D84" s="163">
        <f t="shared" si="21"/>
        <v>6</v>
      </c>
      <c r="E84" s="164">
        <f t="shared" si="21"/>
        <v>47</v>
      </c>
      <c r="F84" s="165">
        <f t="shared" si="21"/>
        <v>18</v>
      </c>
      <c r="G84" s="166">
        <f t="shared" si="21"/>
        <v>457.5</v>
      </c>
      <c r="H84" s="167">
        <f t="shared" si="21"/>
        <v>23339748</v>
      </c>
      <c r="J84" s="169">
        <f>SUM(J67:J83)</f>
        <v>939</v>
      </c>
      <c r="K84" s="170">
        <f>SUM(K67:K83)</f>
        <v>37322800.173410401</v>
      </c>
      <c r="M84" s="171">
        <f>G84/J84</f>
        <v>0.48722044728434505</v>
      </c>
      <c r="N84" s="172">
        <f>H84/K84</f>
        <v>0.62534825606755406</v>
      </c>
    </row>
    <row r="85" spans="1:14" x14ac:dyDescent="0.25">
      <c r="A85" s="173"/>
      <c r="B85" s="98"/>
      <c r="C85" s="62"/>
      <c r="D85" s="63"/>
      <c r="E85" s="100"/>
      <c r="F85" s="99"/>
      <c r="G85" s="72"/>
      <c r="H85" s="64"/>
      <c r="J85" s="175"/>
      <c r="K85" s="176"/>
      <c r="M85" s="177"/>
      <c r="N85" s="178"/>
    </row>
    <row r="86" spans="1:14" x14ac:dyDescent="0.25">
      <c r="A86" s="179"/>
      <c r="B86" s="102"/>
      <c r="C86" s="180"/>
      <c r="D86" s="181"/>
      <c r="E86" s="182"/>
      <c r="F86" s="151"/>
      <c r="G86" s="72"/>
      <c r="H86" s="72"/>
      <c r="J86" s="99"/>
      <c r="K86" s="174"/>
      <c r="M86" s="177"/>
      <c r="N86" s="178"/>
    </row>
    <row r="87" spans="1:14" x14ac:dyDescent="0.25">
      <c r="A87" s="179"/>
      <c r="B87" s="185"/>
      <c r="C87" s="34"/>
      <c r="D87" s="35"/>
      <c r="E87" s="39"/>
      <c r="F87" s="133"/>
      <c r="G87" s="38"/>
      <c r="H87" s="38"/>
      <c r="J87" s="186"/>
      <c r="K87" s="152"/>
      <c r="M87" s="42"/>
      <c r="N87" s="43"/>
    </row>
    <row r="88" spans="1:14" ht="15.75" thickBot="1" x14ac:dyDescent="0.3">
      <c r="A88" s="187"/>
      <c r="B88" s="188"/>
      <c r="C88" s="189"/>
      <c r="D88" s="190"/>
      <c r="E88" s="191"/>
      <c r="F88" s="192"/>
      <c r="G88" s="190"/>
      <c r="H88" s="191"/>
      <c r="J88" s="194"/>
      <c r="K88" s="195"/>
      <c r="M88" s="196"/>
      <c r="N88" s="197"/>
    </row>
    <row r="89" spans="1:14" ht="15.75" thickBot="1" x14ac:dyDescent="0.3">
      <c r="A89" s="198"/>
      <c r="B89" s="199" t="s">
        <v>78</v>
      </c>
      <c r="C89" s="200">
        <f t="shared" ref="C89:H89" si="22">C84+C64+C52+C41</f>
        <v>314</v>
      </c>
      <c r="D89" s="200">
        <f t="shared" si="22"/>
        <v>131</v>
      </c>
      <c r="E89" s="200">
        <f t="shared" si="22"/>
        <v>444</v>
      </c>
      <c r="F89" s="200">
        <f t="shared" si="22"/>
        <v>233</v>
      </c>
      <c r="G89" s="201">
        <f t="shared" si="22"/>
        <v>4479.5</v>
      </c>
      <c r="H89" s="200">
        <f t="shared" si="22"/>
        <v>218337081</v>
      </c>
      <c r="J89" s="200">
        <f>J84+J64+J52+J41</f>
        <v>3562</v>
      </c>
      <c r="K89" s="200">
        <f>K84+K64+K52+K41</f>
        <v>160087227.5433526</v>
      </c>
      <c r="M89" s="202">
        <f>G89/J89</f>
        <v>1.2575800112296462</v>
      </c>
      <c r="N89" s="203">
        <f>H89/K89</f>
        <v>1.3638632160137383</v>
      </c>
    </row>
    <row r="90" spans="1:14" x14ac:dyDescent="0.25">
      <c r="G90" s="204"/>
      <c r="H90" s="204"/>
      <c r="J90" s="110"/>
      <c r="K90" s="110"/>
      <c r="M90" s="207"/>
      <c r="N90" s="207"/>
    </row>
    <row r="91" spans="1:14" x14ac:dyDescent="0.25">
      <c r="C91" s="208"/>
      <c r="D91" s="209"/>
      <c r="E91" s="209"/>
      <c r="G91" s="204"/>
      <c r="H91" s="204"/>
      <c r="J91" s="110"/>
      <c r="K91" s="110"/>
      <c r="M91" s="207"/>
      <c r="N91" s="207"/>
    </row>
    <row r="92" spans="1:14" ht="15.75" thickBot="1" x14ac:dyDescent="0.3">
      <c r="B92" s="210"/>
      <c r="C92" s="208"/>
      <c r="D92" s="209"/>
      <c r="E92" s="209"/>
      <c r="F92" s="211"/>
      <c r="G92" s="209"/>
      <c r="H92" s="209"/>
      <c r="M92" s="207"/>
      <c r="N92" s="207"/>
    </row>
    <row r="93" spans="1:14" ht="30.75" thickBot="1" x14ac:dyDescent="0.3">
      <c r="B93" s="210"/>
      <c r="C93" s="212" t="s">
        <v>79</v>
      </c>
      <c r="D93" s="213"/>
      <c r="E93" s="213"/>
      <c r="F93" s="243"/>
      <c r="G93" s="214" t="s">
        <v>80</v>
      </c>
      <c r="H93" s="215" t="s">
        <v>81</v>
      </c>
      <c r="J93" s="330" t="str">
        <f>J5</f>
        <v>BUDGET MARET</v>
      </c>
      <c r="K93" s="331"/>
      <c r="M93" s="332" t="s">
        <v>5</v>
      </c>
      <c r="N93" s="333"/>
    </row>
    <row r="94" spans="1:14" x14ac:dyDescent="0.25">
      <c r="B94" s="209"/>
      <c r="C94" s="216" t="s">
        <v>82</v>
      </c>
      <c r="D94" s="217"/>
      <c r="E94" s="217"/>
      <c r="F94" s="244"/>
      <c r="G94" s="218">
        <f>G41+G52</f>
        <v>3098.5</v>
      </c>
      <c r="H94" s="218">
        <f>H41+H52</f>
        <v>149374152.5</v>
      </c>
      <c r="J94" s="219">
        <f>J41+J52</f>
        <v>1606</v>
      </c>
      <c r="K94" s="219">
        <f>K41+K52</f>
        <v>80668289.861271679</v>
      </c>
      <c r="M94" s="269">
        <f>G94/J94</f>
        <v>1.9293275217932753</v>
      </c>
      <c r="N94" s="221">
        <f>H94/K94</f>
        <v>1.8517084316140133</v>
      </c>
    </row>
    <row r="95" spans="1:14" x14ac:dyDescent="0.25">
      <c r="B95" s="209"/>
      <c r="C95" s="216" t="s">
        <v>83</v>
      </c>
      <c r="D95" s="217"/>
      <c r="E95" s="217"/>
      <c r="F95" s="244"/>
      <c r="G95" s="222">
        <f>G64</f>
        <v>923.5</v>
      </c>
      <c r="H95" s="223">
        <f>H64</f>
        <v>45623180.5</v>
      </c>
      <c r="J95" s="224">
        <f>J64</f>
        <v>1017</v>
      </c>
      <c r="K95" s="224">
        <f>K64</f>
        <v>42096137.508670516</v>
      </c>
      <c r="M95" s="270">
        <f t="shared" ref="M95:M96" si="23">G95/J95</f>
        <v>0.90806293018682405</v>
      </c>
      <c r="N95" s="221">
        <f t="shared" ref="N95:N96" si="24">H95/K95</f>
        <v>1.0837854302096723</v>
      </c>
    </row>
    <row r="96" spans="1:14" ht="15.75" thickBot="1" x14ac:dyDescent="0.3">
      <c r="B96" s="209"/>
      <c r="C96" s="216" t="s">
        <v>84</v>
      </c>
      <c r="D96" s="217"/>
      <c r="E96" s="217"/>
      <c r="F96" s="244"/>
      <c r="G96" s="227">
        <f>G84</f>
        <v>457.5</v>
      </c>
      <c r="H96" s="228">
        <f>H84</f>
        <v>23339748</v>
      </c>
      <c r="J96" s="229">
        <f>J84</f>
        <v>939</v>
      </c>
      <c r="K96" s="230">
        <f>K84</f>
        <v>37322800.173410401</v>
      </c>
      <c r="M96" s="268">
        <f t="shared" si="23"/>
        <v>0.48722044728434505</v>
      </c>
      <c r="N96" s="221">
        <f t="shared" si="24"/>
        <v>0.62534825606755406</v>
      </c>
    </row>
    <row r="97" spans="2:14" ht="15.75" thickBot="1" x14ac:dyDescent="0.3">
      <c r="C97" s="233" t="s">
        <v>78</v>
      </c>
      <c r="D97" s="234"/>
      <c r="E97" s="234"/>
      <c r="F97" s="245"/>
      <c r="G97" s="235">
        <f>SUM(G94:G96)</f>
        <v>4479.5</v>
      </c>
      <c r="H97" s="236">
        <f>SUM(H94:H96)</f>
        <v>218337081</v>
      </c>
      <c r="J97" s="237">
        <f>SUM(J94:J96)</f>
        <v>3562</v>
      </c>
      <c r="K97" s="238">
        <f>SUM(K94:K96)</f>
        <v>160087227.5433526</v>
      </c>
      <c r="M97" s="239">
        <f>G97/J97</f>
        <v>1.2575800112296462</v>
      </c>
      <c r="N97" s="240">
        <f>H97/K97</f>
        <v>1.3638632160137383</v>
      </c>
    </row>
    <row r="98" spans="2:14" x14ac:dyDescent="0.25">
      <c r="C98" s="208"/>
      <c r="D98" s="209"/>
      <c r="E98" s="209"/>
      <c r="F98" s="209"/>
      <c r="G98" s="209"/>
      <c r="H98" s="209"/>
      <c r="I98" s="241"/>
      <c r="J98" s="241"/>
      <c r="K98" s="241"/>
    </row>
    <row r="99" spans="2:14" x14ac:dyDescent="0.25">
      <c r="J99" s="242"/>
      <c r="K99" s="242"/>
    </row>
    <row r="101" spans="2:14" x14ac:dyDescent="0.25">
      <c r="B101" s="47"/>
    </row>
    <row r="102" spans="2:14" x14ac:dyDescent="0.25">
      <c r="B102" s="47"/>
    </row>
    <row r="103" spans="2:14" x14ac:dyDescent="0.25">
      <c r="B103" s="47"/>
    </row>
    <row r="104" spans="2:14" x14ac:dyDescent="0.25">
      <c r="B104" s="47"/>
    </row>
  </sheetData>
  <mergeCells count="6">
    <mergeCell ref="J5:K5"/>
    <mergeCell ref="M5:N5"/>
    <mergeCell ref="J93:K93"/>
    <mergeCell ref="M93:N93"/>
    <mergeCell ref="C5:E5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05"/>
  <sheetViews>
    <sheetView topLeftCell="A85" workbookViewId="0">
      <selection activeCell="C94" sqref="C94:H98"/>
    </sheetView>
  </sheetViews>
  <sheetFormatPr defaultRowHeight="15" x14ac:dyDescent="0.25"/>
  <cols>
    <col min="1" max="1" width="7.140625" customWidth="1"/>
    <col min="2" max="2" width="39.42578125" customWidth="1"/>
    <col min="3" max="3" width="6.7109375" customWidth="1"/>
    <col min="4" max="4" width="5.7109375" customWidth="1"/>
    <col min="5" max="5" width="5.85546875" customWidth="1"/>
    <col min="6" max="6" width="7.85546875" customWidth="1"/>
    <col min="7" max="7" width="14.28515625" customWidth="1"/>
    <col min="8" max="8" width="14" customWidth="1"/>
    <col min="9" max="9" width="1.85546875" customWidth="1"/>
    <col min="10" max="10" width="9.140625" customWidth="1"/>
    <col min="11" max="11" width="12.42578125" bestFit="1" customWidth="1"/>
    <col min="12" max="12" width="1.42578125" style="4" customWidth="1"/>
    <col min="13" max="14" width="9.140625" style="4" customWidth="1"/>
    <col min="15" max="23" width="9.140625" customWidth="1"/>
    <col min="24" max="24" width="11.5703125" customWidth="1"/>
    <col min="25" max="25" width="11.85546875" customWidth="1"/>
    <col min="26" max="26" width="15.7109375" customWidth="1"/>
    <col min="27" max="27" width="1.5703125" customWidth="1"/>
    <col min="28" max="28" width="10.5703125" customWidth="1"/>
    <col min="29" max="29" width="20.7109375" customWidth="1"/>
    <col min="30" max="30" width="2" customWidth="1"/>
    <col min="31" max="31" width="10.140625" customWidth="1"/>
    <col min="32" max="32" width="13.7109375" customWidth="1"/>
    <col min="33" max="33" width="16.5703125" customWidth="1"/>
    <col min="34" max="34" width="16" customWidth="1"/>
    <col min="35" max="244" width="9.42578125" customWidth="1"/>
    <col min="245" max="245" width="7.140625" customWidth="1"/>
    <col min="246" max="246" width="35.28515625" customWidth="1"/>
    <col min="247" max="247" width="6.7109375" customWidth="1"/>
    <col min="248" max="248" width="5.7109375" customWidth="1"/>
    <col min="249" max="249" width="5.85546875" customWidth="1"/>
    <col min="250" max="250" width="7.85546875" customWidth="1"/>
    <col min="257" max="257" width="7.140625" customWidth="1"/>
    <col min="258" max="258" width="39.42578125" customWidth="1"/>
    <col min="259" max="259" width="6.7109375" customWidth="1"/>
    <col min="260" max="260" width="5.7109375" customWidth="1"/>
    <col min="261" max="261" width="5.85546875" customWidth="1"/>
    <col min="262" max="262" width="7.85546875" customWidth="1"/>
    <col min="263" max="263" width="14.28515625" customWidth="1"/>
    <col min="264" max="264" width="14" customWidth="1"/>
    <col min="265" max="279" width="0" hidden="1" customWidth="1"/>
    <col min="280" max="280" width="11.5703125" customWidth="1"/>
    <col min="281" max="281" width="11.85546875" customWidth="1"/>
    <col min="282" max="282" width="15.7109375" customWidth="1"/>
    <col min="283" max="283" width="1.5703125" customWidth="1"/>
    <col min="284" max="284" width="10.5703125" customWidth="1"/>
    <col min="285" max="285" width="20.7109375" customWidth="1"/>
    <col min="286" max="286" width="2" customWidth="1"/>
    <col min="287" max="287" width="10.140625" customWidth="1"/>
    <col min="288" max="288" width="13.7109375" customWidth="1"/>
    <col min="289" max="289" width="16.5703125" customWidth="1"/>
    <col min="290" max="290" width="16" customWidth="1"/>
    <col min="291" max="500" width="9.42578125" customWidth="1"/>
    <col min="501" max="501" width="7.140625" customWidth="1"/>
    <col min="502" max="502" width="35.28515625" customWidth="1"/>
    <col min="503" max="503" width="6.7109375" customWidth="1"/>
    <col min="504" max="504" width="5.7109375" customWidth="1"/>
    <col min="505" max="505" width="5.85546875" customWidth="1"/>
    <col min="506" max="506" width="7.85546875" customWidth="1"/>
    <col min="513" max="513" width="7.140625" customWidth="1"/>
    <col min="514" max="514" width="39.42578125" customWidth="1"/>
    <col min="515" max="515" width="6.7109375" customWidth="1"/>
    <col min="516" max="516" width="5.7109375" customWidth="1"/>
    <col min="517" max="517" width="5.85546875" customWidth="1"/>
    <col min="518" max="518" width="7.85546875" customWidth="1"/>
    <col min="519" max="519" width="14.28515625" customWidth="1"/>
    <col min="520" max="520" width="14" customWidth="1"/>
    <col min="521" max="535" width="0" hidden="1" customWidth="1"/>
    <col min="536" max="536" width="11.5703125" customWidth="1"/>
    <col min="537" max="537" width="11.85546875" customWidth="1"/>
    <col min="538" max="538" width="15.7109375" customWidth="1"/>
    <col min="539" max="539" width="1.5703125" customWidth="1"/>
    <col min="540" max="540" width="10.5703125" customWidth="1"/>
    <col min="541" max="541" width="20.7109375" customWidth="1"/>
    <col min="542" max="542" width="2" customWidth="1"/>
    <col min="543" max="543" width="10.140625" customWidth="1"/>
    <col min="544" max="544" width="13.7109375" customWidth="1"/>
    <col min="545" max="545" width="16.5703125" customWidth="1"/>
    <col min="546" max="546" width="16" customWidth="1"/>
    <col min="547" max="756" width="9.42578125" customWidth="1"/>
    <col min="757" max="757" width="7.140625" customWidth="1"/>
    <col min="758" max="758" width="35.28515625" customWidth="1"/>
    <col min="759" max="759" width="6.7109375" customWidth="1"/>
    <col min="760" max="760" width="5.7109375" customWidth="1"/>
    <col min="761" max="761" width="5.85546875" customWidth="1"/>
    <col min="762" max="762" width="7.85546875" customWidth="1"/>
    <col min="769" max="769" width="7.140625" customWidth="1"/>
    <col min="770" max="770" width="39.42578125" customWidth="1"/>
    <col min="771" max="771" width="6.7109375" customWidth="1"/>
    <col min="772" max="772" width="5.7109375" customWidth="1"/>
    <col min="773" max="773" width="5.85546875" customWidth="1"/>
    <col min="774" max="774" width="7.85546875" customWidth="1"/>
    <col min="775" max="775" width="14.28515625" customWidth="1"/>
    <col min="776" max="776" width="14" customWidth="1"/>
    <col min="777" max="791" width="0" hidden="1" customWidth="1"/>
    <col min="792" max="792" width="11.5703125" customWidth="1"/>
    <col min="793" max="793" width="11.85546875" customWidth="1"/>
    <col min="794" max="794" width="15.7109375" customWidth="1"/>
    <col min="795" max="795" width="1.5703125" customWidth="1"/>
    <col min="796" max="796" width="10.5703125" customWidth="1"/>
    <col min="797" max="797" width="20.7109375" customWidth="1"/>
    <col min="798" max="798" width="2" customWidth="1"/>
    <col min="799" max="799" width="10.140625" customWidth="1"/>
    <col min="800" max="800" width="13.7109375" customWidth="1"/>
    <col min="801" max="801" width="16.5703125" customWidth="1"/>
    <col min="802" max="802" width="16" customWidth="1"/>
    <col min="803" max="1012" width="9.42578125" customWidth="1"/>
    <col min="1013" max="1013" width="7.140625" customWidth="1"/>
    <col min="1014" max="1014" width="35.28515625" customWidth="1"/>
    <col min="1015" max="1015" width="6.7109375" customWidth="1"/>
    <col min="1016" max="1016" width="5.7109375" customWidth="1"/>
    <col min="1017" max="1017" width="5.85546875" customWidth="1"/>
    <col min="1018" max="1018" width="7.85546875" customWidth="1"/>
    <col min="1025" max="1025" width="7.140625" customWidth="1"/>
    <col min="1026" max="1026" width="39.42578125" customWidth="1"/>
    <col min="1027" max="1027" width="6.7109375" customWidth="1"/>
    <col min="1028" max="1028" width="5.7109375" customWidth="1"/>
    <col min="1029" max="1029" width="5.85546875" customWidth="1"/>
    <col min="1030" max="1030" width="7.85546875" customWidth="1"/>
    <col min="1031" max="1031" width="14.28515625" customWidth="1"/>
    <col min="1032" max="1032" width="14" customWidth="1"/>
    <col min="1033" max="1047" width="0" hidden="1" customWidth="1"/>
    <col min="1048" max="1048" width="11.5703125" customWidth="1"/>
    <col min="1049" max="1049" width="11.85546875" customWidth="1"/>
    <col min="1050" max="1050" width="15.7109375" customWidth="1"/>
    <col min="1051" max="1051" width="1.5703125" customWidth="1"/>
    <col min="1052" max="1052" width="10.5703125" customWidth="1"/>
    <col min="1053" max="1053" width="20.7109375" customWidth="1"/>
    <col min="1054" max="1054" width="2" customWidth="1"/>
    <col min="1055" max="1055" width="10.140625" customWidth="1"/>
    <col min="1056" max="1056" width="13.7109375" customWidth="1"/>
    <col min="1057" max="1057" width="16.5703125" customWidth="1"/>
    <col min="1058" max="1058" width="16" customWidth="1"/>
    <col min="1059" max="1268" width="9.42578125" customWidth="1"/>
    <col min="1269" max="1269" width="7.140625" customWidth="1"/>
    <col min="1270" max="1270" width="35.28515625" customWidth="1"/>
    <col min="1271" max="1271" width="6.7109375" customWidth="1"/>
    <col min="1272" max="1272" width="5.7109375" customWidth="1"/>
    <col min="1273" max="1273" width="5.85546875" customWidth="1"/>
    <col min="1274" max="1274" width="7.85546875" customWidth="1"/>
    <col min="1281" max="1281" width="7.140625" customWidth="1"/>
    <col min="1282" max="1282" width="39.42578125" customWidth="1"/>
    <col min="1283" max="1283" width="6.7109375" customWidth="1"/>
    <col min="1284" max="1284" width="5.7109375" customWidth="1"/>
    <col min="1285" max="1285" width="5.85546875" customWidth="1"/>
    <col min="1286" max="1286" width="7.85546875" customWidth="1"/>
    <col min="1287" max="1287" width="14.28515625" customWidth="1"/>
    <col min="1288" max="1288" width="14" customWidth="1"/>
    <col min="1289" max="1303" width="0" hidden="1" customWidth="1"/>
    <col min="1304" max="1304" width="11.5703125" customWidth="1"/>
    <col min="1305" max="1305" width="11.85546875" customWidth="1"/>
    <col min="1306" max="1306" width="15.7109375" customWidth="1"/>
    <col min="1307" max="1307" width="1.5703125" customWidth="1"/>
    <col min="1308" max="1308" width="10.5703125" customWidth="1"/>
    <col min="1309" max="1309" width="20.7109375" customWidth="1"/>
    <col min="1310" max="1310" width="2" customWidth="1"/>
    <col min="1311" max="1311" width="10.140625" customWidth="1"/>
    <col min="1312" max="1312" width="13.7109375" customWidth="1"/>
    <col min="1313" max="1313" width="16.5703125" customWidth="1"/>
    <col min="1314" max="1314" width="16" customWidth="1"/>
    <col min="1315" max="1524" width="9.42578125" customWidth="1"/>
    <col min="1525" max="1525" width="7.140625" customWidth="1"/>
    <col min="1526" max="1526" width="35.28515625" customWidth="1"/>
    <col min="1527" max="1527" width="6.7109375" customWidth="1"/>
    <col min="1528" max="1528" width="5.7109375" customWidth="1"/>
    <col min="1529" max="1529" width="5.85546875" customWidth="1"/>
    <col min="1530" max="1530" width="7.85546875" customWidth="1"/>
    <col min="1537" max="1537" width="7.140625" customWidth="1"/>
    <col min="1538" max="1538" width="39.42578125" customWidth="1"/>
    <col min="1539" max="1539" width="6.7109375" customWidth="1"/>
    <col min="1540" max="1540" width="5.7109375" customWidth="1"/>
    <col min="1541" max="1541" width="5.85546875" customWidth="1"/>
    <col min="1542" max="1542" width="7.85546875" customWidth="1"/>
    <col min="1543" max="1543" width="14.28515625" customWidth="1"/>
    <col min="1544" max="1544" width="14" customWidth="1"/>
    <col min="1545" max="1559" width="0" hidden="1" customWidth="1"/>
    <col min="1560" max="1560" width="11.5703125" customWidth="1"/>
    <col min="1561" max="1561" width="11.85546875" customWidth="1"/>
    <col min="1562" max="1562" width="15.7109375" customWidth="1"/>
    <col min="1563" max="1563" width="1.5703125" customWidth="1"/>
    <col min="1564" max="1564" width="10.5703125" customWidth="1"/>
    <col min="1565" max="1565" width="20.7109375" customWidth="1"/>
    <col min="1566" max="1566" width="2" customWidth="1"/>
    <col min="1567" max="1567" width="10.140625" customWidth="1"/>
    <col min="1568" max="1568" width="13.7109375" customWidth="1"/>
    <col min="1569" max="1569" width="16.5703125" customWidth="1"/>
    <col min="1570" max="1570" width="16" customWidth="1"/>
    <col min="1571" max="1780" width="9.42578125" customWidth="1"/>
    <col min="1781" max="1781" width="7.140625" customWidth="1"/>
    <col min="1782" max="1782" width="35.28515625" customWidth="1"/>
    <col min="1783" max="1783" width="6.7109375" customWidth="1"/>
    <col min="1784" max="1784" width="5.7109375" customWidth="1"/>
    <col min="1785" max="1785" width="5.85546875" customWidth="1"/>
    <col min="1786" max="1786" width="7.85546875" customWidth="1"/>
    <col min="1793" max="1793" width="7.140625" customWidth="1"/>
    <col min="1794" max="1794" width="39.42578125" customWidth="1"/>
    <col min="1795" max="1795" width="6.7109375" customWidth="1"/>
    <col min="1796" max="1796" width="5.7109375" customWidth="1"/>
    <col min="1797" max="1797" width="5.85546875" customWidth="1"/>
    <col min="1798" max="1798" width="7.85546875" customWidth="1"/>
    <col min="1799" max="1799" width="14.28515625" customWidth="1"/>
    <col min="1800" max="1800" width="14" customWidth="1"/>
    <col min="1801" max="1815" width="0" hidden="1" customWidth="1"/>
    <col min="1816" max="1816" width="11.5703125" customWidth="1"/>
    <col min="1817" max="1817" width="11.85546875" customWidth="1"/>
    <col min="1818" max="1818" width="15.7109375" customWidth="1"/>
    <col min="1819" max="1819" width="1.5703125" customWidth="1"/>
    <col min="1820" max="1820" width="10.5703125" customWidth="1"/>
    <col min="1821" max="1821" width="20.7109375" customWidth="1"/>
    <col min="1822" max="1822" width="2" customWidth="1"/>
    <col min="1823" max="1823" width="10.140625" customWidth="1"/>
    <col min="1824" max="1824" width="13.7109375" customWidth="1"/>
    <col min="1825" max="1825" width="16.5703125" customWidth="1"/>
    <col min="1826" max="1826" width="16" customWidth="1"/>
    <col min="1827" max="2036" width="9.42578125" customWidth="1"/>
    <col min="2037" max="2037" width="7.140625" customWidth="1"/>
    <col min="2038" max="2038" width="35.28515625" customWidth="1"/>
    <col min="2039" max="2039" width="6.7109375" customWidth="1"/>
    <col min="2040" max="2040" width="5.7109375" customWidth="1"/>
    <col min="2041" max="2041" width="5.85546875" customWidth="1"/>
    <col min="2042" max="2042" width="7.85546875" customWidth="1"/>
    <col min="2049" max="2049" width="7.140625" customWidth="1"/>
    <col min="2050" max="2050" width="39.42578125" customWidth="1"/>
    <col min="2051" max="2051" width="6.7109375" customWidth="1"/>
    <col min="2052" max="2052" width="5.7109375" customWidth="1"/>
    <col min="2053" max="2053" width="5.85546875" customWidth="1"/>
    <col min="2054" max="2054" width="7.85546875" customWidth="1"/>
    <col min="2055" max="2055" width="14.28515625" customWidth="1"/>
    <col min="2056" max="2056" width="14" customWidth="1"/>
    <col min="2057" max="2071" width="0" hidden="1" customWidth="1"/>
    <col min="2072" max="2072" width="11.5703125" customWidth="1"/>
    <col min="2073" max="2073" width="11.85546875" customWidth="1"/>
    <col min="2074" max="2074" width="15.7109375" customWidth="1"/>
    <col min="2075" max="2075" width="1.5703125" customWidth="1"/>
    <col min="2076" max="2076" width="10.5703125" customWidth="1"/>
    <col min="2077" max="2077" width="20.7109375" customWidth="1"/>
    <col min="2078" max="2078" width="2" customWidth="1"/>
    <col min="2079" max="2079" width="10.140625" customWidth="1"/>
    <col min="2080" max="2080" width="13.7109375" customWidth="1"/>
    <col min="2081" max="2081" width="16.5703125" customWidth="1"/>
    <col min="2082" max="2082" width="16" customWidth="1"/>
    <col min="2083" max="2292" width="9.42578125" customWidth="1"/>
    <col min="2293" max="2293" width="7.140625" customWidth="1"/>
    <col min="2294" max="2294" width="35.28515625" customWidth="1"/>
    <col min="2295" max="2295" width="6.7109375" customWidth="1"/>
    <col min="2296" max="2296" width="5.7109375" customWidth="1"/>
    <col min="2297" max="2297" width="5.85546875" customWidth="1"/>
    <col min="2298" max="2298" width="7.85546875" customWidth="1"/>
    <col min="2305" max="2305" width="7.140625" customWidth="1"/>
    <col min="2306" max="2306" width="39.42578125" customWidth="1"/>
    <col min="2307" max="2307" width="6.7109375" customWidth="1"/>
    <col min="2308" max="2308" width="5.7109375" customWidth="1"/>
    <col min="2309" max="2309" width="5.85546875" customWidth="1"/>
    <col min="2310" max="2310" width="7.85546875" customWidth="1"/>
    <col min="2311" max="2311" width="14.28515625" customWidth="1"/>
    <col min="2312" max="2312" width="14" customWidth="1"/>
    <col min="2313" max="2327" width="0" hidden="1" customWidth="1"/>
    <col min="2328" max="2328" width="11.5703125" customWidth="1"/>
    <col min="2329" max="2329" width="11.85546875" customWidth="1"/>
    <col min="2330" max="2330" width="15.7109375" customWidth="1"/>
    <col min="2331" max="2331" width="1.5703125" customWidth="1"/>
    <col min="2332" max="2332" width="10.5703125" customWidth="1"/>
    <col min="2333" max="2333" width="20.7109375" customWidth="1"/>
    <col min="2334" max="2334" width="2" customWidth="1"/>
    <col min="2335" max="2335" width="10.140625" customWidth="1"/>
    <col min="2336" max="2336" width="13.7109375" customWidth="1"/>
    <col min="2337" max="2337" width="16.5703125" customWidth="1"/>
    <col min="2338" max="2338" width="16" customWidth="1"/>
    <col min="2339" max="2548" width="9.42578125" customWidth="1"/>
    <col min="2549" max="2549" width="7.140625" customWidth="1"/>
    <col min="2550" max="2550" width="35.28515625" customWidth="1"/>
    <col min="2551" max="2551" width="6.7109375" customWidth="1"/>
    <col min="2552" max="2552" width="5.7109375" customWidth="1"/>
    <col min="2553" max="2553" width="5.85546875" customWidth="1"/>
    <col min="2554" max="2554" width="7.85546875" customWidth="1"/>
    <col min="2561" max="2561" width="7.140625" customWidth="1"/>
    <col min="2562" max="2562" width="39.42578125" customWidth="1"/>
    <col min="2563" max="2563" width="6.7109375" customWidth="1"/>
    <col min="2564" max="2564" width="5.7109375" customWidth="1"/>
    <col min="2565" max="2565" width="5.85546875" customWidth="1"/>
    <col min="2566" max="2566" width="7.85546875" customWidth="1"/>
    <col min="2567" max="2567" width="14.28515625" customWidth="1"/>
    <col min="2568" max="2568" width="14" customWidth="1"/>
    <col min="2569" max="2583" width="0" hidden="1" customWidth="1"/>
    <col min="2584" max="2584" width="11.5703125" customWidth="1"/>
    <col min="2585" max="2585" width="11.85546875" customWidth="1"/>
    <col min="2586" max="2586" width="15.7109375" customWidth="1"/>
    <col min="2587" max="2587" width="1.5703125" customWidth="1"/>
    <col min="2588" max="2588" width="10.5703125" customWidth="1"/>
    <col min="2589" max="2589" width="20.7109375" customWidth="1"/>
    <col min="2590" max="2590" width="2" customWidth="1"/>
    <col min="2591" max="2591" width="10.140625" customWidth="1"/>
    <col min="2592" max="2592" width="13.7109375" customWidth="1"/>
    <col min="2593" max="2593" width="16.5703125" customWidth="1"/>
    <col min="2594" max="2594" width="16" customWidth="1"/>
    <col min="2595" max="2804" width="9.42578125" customWidth="1"/>
    <col min="2805" max="2805" width="7.140625" customWidth="1"/>
    <col min="2806" max="2806" width="35.28515625" customWidth="1"/>
    <col min="2807" max="2807" width="6.7109375" customWidth="1"/>
    <col min="2808" max="2808" width="5.7109375" customWidth="1"/>
    <col min="2809" max="2809" width="5.85546875" customWidth="1"/>
    <col min="2810" max="2810" width="7.85546875" customWidth="1"/>
    <col min="2817" max="2817" width="7.140625" customWidth="1"/>
    <col min="2818" max="2818" width="39.42578125" customWidth="1"/>
    <col min="2819" max="2819" width="6.7109375" customWidth="1"/>
    <col min="2820" max="2820" width="5.7109375" customWidth="1"/>
    <col min="2821" max="2821" width="5.85546875" customWidth="1"/>
    <col min="2822" max="2822" width="7.85546875" customWidth="1"/>
    <col min="2823" max="2823" width="14.28515625" customWidth="1"/>
    <col min="2824" max="2824" width="14" customWidth="1"/>
    <col min="2825" max="2839" width="0" hidden="1" customWidth="1"/>
    <col min="2840" max="2840" width="11.5703125" customWidth="1"/>
    <col min="2841" max="2841" width="11.85546875" customWidth="1"/>
    <col min="2842" max="2842" width="15.7109375" customWidth="1"/>
    <col min="2843" max="2843" width="1.5703125" customWidth="1"/>
    <col min="2844" max="2844" width="10.5703125" customWidth="1"/>
    <col min="2845" max="2845" width="20.7109375" customWidth="1"/>
    <col min="2846" max="2846" width="2" customWidth="1"/>
    <col min="2847" max="2847" width="10.140625" customWidth="1"/>
    <col min="2848" max="2848" width="13.7109375" customWidth="1"/>
    <col min="2849" max="2849" width="16.5703125" customWidth="1"/>
    <col min="2850" max="2850" width="16" customWidth="1"/>
    <col min="2851" max="3060" width="9.42578125" customWidth="1"/>
    <col min="3061" max="3061" width="7.140625" customWidth="1"/>
    <col min="3062" max="3062" width="35.28515625" customWidth="1"/>
    <col min="3063" max="3063" width="6.7109375" customWidth="1"/>
    <col min="3064" max="3064" width="5.7109375" customWidth="1"/>
    <col min="3065" max="3065" width="5.85546875" customWidth="1"/>
    <col min="3066" max="3066" width="7.85546875" customWidth="1"/>
    <col min="3073" max="3073" width="7.140625" customWidth="1"/>
    <col min="3074" max="3074" width="39.42578125" customWidth="1"/>
    <col min="3075" max="3075" width="6.7109375" customWidth="1"/>
    <col min="3076" max="3076" width="5.7109375" customWidth="1"/>
    <col min="3077" max="3077" width="5.85546875" customWidth="1"/>
    <col min="3078" max="3078" width="7.85546875" customWidth="1"/>
    <col min="3079" max="3079" width="14.28515625" customWidth="1"/>
    <col min="3080" max="3080" width="14" customWidth="1"/>
    <col min="3081" max="3095" width="0" hidden="1" customWidth="1"/>
    <col min="3096" max="3096" width="11.5703125" customWidth="1"/>
    <col min="3097" max="3097" width="11.85546875" customWidth="1"/>
    <col min="3098" max="3098" width="15.7109375" customWidth="1"/>
    <col min="3099" max="3099" width="1.5703125" customWidth="1"/>
    <col min="3100" max="3100" width="10.5703125" customWidth="1"/>
    <col min="3101" max="3101" width="20.7109375" customWidth="1"/>
    <col min="3102" max="3102" width="2" customWidth="1"/>
    <col min="3103" max="3103" width="10.140625" customWidth="1"/>
    <col min="3104" max="3104" width="13.7109375" customWidth="1"/>
    <col min="3105" max="3105" width="16.5703125" customWidth="1"/>
    <col min="3106" max="3106" width="16" customWidth="1"/>
    <col min="3107" max="3316" width="9.42578125" customWidth="1"/>
    <col min="3317" max="3317" width="7.140625" customWidth="1"/>
    <col min="3318" max="3318" width="35.28515625" customWidth="1"/>
    <col min="3319" max="3319" width="6.7109375" customWidth="1"/>
    <col min="3320" max="3320" width="5.7109375" customWidth="1"/>
    <col min="3321" max="3321" width="5.85546875" customWidth="1"/>
    <col min="3322" max="3322" width="7.85546875" customWidth="1"/>
    <col min="3329" max="3329" width="7.140625" customWidth="1"/>
    <col min="3330" max="3330" width="39.42578125" customWidth="1"/>
    <col min="3331" max="3331" width="6.7109375" customWidth="1"/>
    <col min="3332" max="3332" width="5.7109375" customWidth="1"/>
    <col min="3333" max="3333" width="5.85546875" customWidth="1"/>
    <col min="3334" max="3334" width="7.85546875" customWidth="1"/>
    <col min="3335" max="3335" width="14.28515625" customWidth="1"/>
    <col min="3336" max="3336" width="14" customWidth="1"/>
    <col min="3337" max="3351" width="0" hidden="1" customWidth="1"/>
    <col min="3352" max="3352" width="11.5703125" customWidth="1"/>
    <col min="3353" max="3353" width="11.85546875" customWidth="1"/>
    <col min="3354" max="3354" width="15.7109375" customWidth="1"/>
    <col min="3355" max="3355" width="1.5703125" customWidth="1"/>
    <col min="3356" max="3356" width="10.5703125" customWidth="1"/>
    <col min="3357" max="3357" width="20.7109375" customWidth="1"/>
    <col min="3358" max="3358" width="2" customWidth="1"/>
    <col min="3359" max="3359" width="10.140625" customWidth="1"/>
    <col min="3360" max="3360" width="13.7109375" customWidth="1"/>
    <col min="3361" max="3361" width="16.5703125" customWidth="1"/>
    <col min="3362" max="3362" width="16" customWidth="1"/>
    <col min="3363" max="3572" width="9.42578125" customWidth="1"/>
    <col min="3573" max="3573" width="7.140625" customWidth="1"/>
    <col min="3574" max="3574" width="35.28515625" customWidth="1"/>
    <col min="3575" max="3575" width="6.7109375" customWidth="1"/>
    <col min="3576" max="3576" width="5.7109375" customWidth="1"/>
    <col min="3577" max="3577" width="5.85546875" customWidth="1"/>
    <col min="3578" max="3578" width="7.85546875" customWidth="1"/>
    <col min="3585" max="3585" width="7.140625" customWidth="1"/>
    <col min="3586" max="3586" width="39.42578125" customWidth="1"/>
    <col min="3587" max="3587" width="6.7109375" customWidth="1"/>
    <col min="3588" max="3588" width="5.7109375" customWidth="1"/>
    <col min="3589" max="3589" width="5.85546875" customWidth="1"/>
    <col min="3590" max="3590" width="7.85546875" customWidth="1"/>
    <col min="3591" max="3591" width="14.28515625" customWidth="1"/>
    <col min="3592" max="3592" width="14" customWidth="1"/>
    <col min="3593" max="3607" width="0" hidden="1" customWidth="1"/>
    <col min="3608" max="3608" width="11.5703125" customWidth="1"/>
    <col min="3609" max="3609" width="11.85546875" customWidth="1"/>
    <col min="3610" max="3610" width="15.7109375" customWidth="1"/>
    <col min="3611" max="3611" width="1.5703125" customWidth="1"/>
    <col min="3612" max="3612" width="10.5703125" customWidth="1"/>
    <col min="3613" max="3613" width="20.7109375" customWidth="1"/>
    <col min="3614" max="3614" width="2" customWidth="1"/>
    <col min="3615" max="3615" width="10.140625" customWidth="1"/>
    <col min="3616" max="3616" width="13.7109375" customWidth="1"/>
    <col min="3617" max="3617" width="16.5703125" customWidth="1"/>
    <col min="3618" max="3618" width="16" customWidth="1"/>
    <col min="3619" max="3828" width="9.42578125" customWidth="1"/>
    <col min="3829" max="3829" width="7.140625" customWidth="1"/>
    <col min="3830" max="3830" width="35.28515625" customWidth="1"/>
    <col min="3831" max="3831" width="6.7109375" customWidth="1"/>
    <col min="3832" max="3832" width="5.7109375" customWidth="1"/>
    <col min="3833" max="3833" width="5.85546875" customWidth="1"/>
    <col min="3834" max="3834" width="7.85546875" customWidth="1"/>
    <col min="3841" max="3841" width="7.140625" customWidth="1"/>
    <col min="3842" max="3842" width="39.42578125" customWidth="1"/>
    <col min="3843" max="3843" width="6.7109375" customWidth="1"/>
    <col min="3844" max="3844" width="5.7109375" customWidth="1"/>
    <col min="3845" max="3845" width="5.85546875" customWidth="1"/>
    <col min="3846" max="3846" width="7.85546875" customWidth="1"/>
    <col min="3847" max="3847" width="14.28515625" customWidth="1"/>
    <col min="3848" max="3848" width="14" customWidth="1"/>
    <col min="3849" max="3863" width="0" hidden="1" customWidth="1"/>
    <col min="3864" max="3864" width="11.5703125" customWidth="1"/>
    <col min="3865" max="3865" width="11.85546875" customWidth="1"/>
    <col min="3866" max="3866" width="15.7109375" customWidth="1"/>
    <col min="3867" max="3867" width="1.5703125" customWidth="1"/>
    <col min="3868" max="3868" width="10.5703125" customWidth="1"/>
    <col min="3869" max="3869" width="20.7109375" customWidth="1"/>
    <col min="3870" max="3870" width="2" customWidth="1"/>
    <col min="3871" max="3871" width="10.140625" customWidth="1"/>
    <col min="3872" max="3872" width="13.7109375" customWidth="1"/>
    <col min="3873" max="3873" width="16.5703125" customWidth="1"/>
    <col min="3874" max="3874" width="16" customWidth="1"/>
    <col min="3875" max="4084" width="9.42578125" customWidth="1"/>
    <col min="4085" max="4085" width="7.140625" customWidth="1"/>
    <col min="4086" max="4086" width="35.28515625" customWidth="1"/>
    <col min="4087" max="4087" width="6.7109375" customWidth="1"/>
    <col min="4088" max="4088" width="5.7109375" customWidth="1"/>
    <col min="4089" max="4089" width="5.85546875" customWidth="1"/>
    <col min="4090" max="4090" width="7.85546875" customWidth="1"/>
    <col min="4097" max="4097" width="7.140625" customWidth="1"/>
    <col min="4098" max="4098" width="39.42578125" customWidth="1"/>
    <col min="4099" max="4099" width="6.7109375" customWidth="1"/>
    <col min="4100" max="4100" width="5.7109375" customWidth="1"/>
    <col min="4101" max="4101" width="5.85546875" customWidth="1"/>
    <col min="4102" max="4102" width="7.85546875" customWidth="1"/>
    <col min="4103" max="4103" width="14.28515625" customWidth="1"/>
    <col min="4104" max="4104" width="14" customWidth="1"/>
    <col min="4105" max="4119" width="0" hidden="1" customWidth="1"/>
    <col min="4120" max="4120" width="11.5703125" customWidth="1"/>
    <col min="4121" max="4121" width="11.85546875" customWidth="1"/>
    <col min="4122" max="4122" width="15.7109375" customWidth="1"/>
    <col min="4123" max="4123" width="1.5703125" customWidth="1"/>
    <col min="4124" max="4124" width="10.5703125" customWidth="1"/>
    <col min="4125" max="4125" width="20.7109375" customWidth="1"/>
    <col min="4126" max="4126" width="2" customWidth="1"/>
    <col min="4127" max="4127" width="10.140625" customWidth="1"/>
    <col min="4128" max="4128" width="13.7109375" customWidth="1"/>
    <col min="4129" max="4129" width="16.5703125" customWidth="1"/>
    <col min="4130" max="4130" width="16" customWidth="1"/>
    <col min="4131" max="4340" width="9.42578125" customWidth="1"/>
    <col min="4341" max="4341" width="7.140625" customWidth="1"/>
    <col min="4342" max="4342" width="35.28515625" customWidth="1"/>
    <col min="4343" max="4343" width="6.7109375" customWidth="1"/>
    <col min="4344" max="4344" width="5.7109375" customWidth="1"/>
    <col min="4345" max="4345" width="5.85546875" customWidth="1"/>
    <col min="4346" max="4346" width="7.85546875" customWidth="1"/>
    <col min="4353" max="4353" width="7.140625" customWidth="1"/>
    <col min="4354" max="4354" width="39.42578125" customWidth="1"/>
    <col min="4355" max="4355" width="6.7109375" customWidth="1"/>
    <col min="4356" max="4356" width="5.7109375" customWidth="1"/>
    <col min="4357" max="4357" width="5.85546875" customWidth="1"/>
    <col min="4358" max="4358" width="7.85546875" customWidth="1"/>
    <col min="4359" max="4359" width="14.28515625" customWidth="1"/>
    <col min="4360" max="4360" width="14" customWidth="1"/>
    <col min="4361" max="4375" width="0" hidden="1" customWidth="1"/>
    <col min="4376" max="4376" width="11.5703125" customWidth="1"/>
    <col min="4377" max="4377" width="11.85546875" customWidth="1"/>
    <col min="4378" max="4378" width="15.7109375" customWidth="1"/>
    <col min="4379" max="4379" width="1.5703125" customWidth="1"/>
    <col min="4380" max="4380" width="10.5703125" customWidth="1"/>
    <col min="4381" max="4381" width="20.7109375" customWidth="1"/>
    <col min="4382" max="4382" width="2" customWidth="1"/>
    <col min="4383" max="4383" width="10.140625" customWidth="1"/>
    <col min="4384" max="4384" width="13.7109375" customWidth="1"/>
    <col min="4385" max="4385" width="16.5703125" customWidth="1"/>
    <col min="4386" max="4386" width="16" customWidth="1"/>
    <col min="4387" max="4596" width="9.42578125" customWidth="1"/>
    <col min="4597" max="4597" width="7.140625" customWidth="1"/>
    <col min="4598" max="4598" width="35.28515625" customWidth="1"/>
    <col min="4599" max="4599" width="6.7109375" customWidth="1"/>
    <col min="4600" max="4600" width="5.7109375" customWidth="1"/>
    <col min="4601" max="4601" width="5.85546875" customWidth="1"/>
    <col min="4602" max="4602" width="7.85546875" customWidth="1"/>
    <col min="4609" max="4609" width="7.140625" customWidth="1"/>
    <col min="4610" max="4610" width="39.42578125" customWidth="1"/>
    <col min="4611" max="4611" width="6.7109375" customWidth="1"/>
    <col min="4612" max="4612" width="5.7109375" customWidth="1"/>
    <col min="4613" max="4613" width="5.85546875" customWidth="1"/>
    <col min="4614" max="4614" width="7.85546875" customWidth="1"/>
    <col min="4615" max="4615" width="14.28515625" customWidth="1"/>
    <col min="4616" max="4616" width="14" customWidth="1"/>
    <col min="4617" max="4631" width="0" hidden="1" customWidth="1"/>
    <col min="4632" max="4632" width="11.5703125" customWidth="1"/>
    <col min="4633" max="4633" width="11.85546875" customWidth="1"/>
    <col min="4634" max="4634" width="15.7109375" customWidth="1"/>
    <col min="4635" max="4635" width="1.5703125" customWidth="1"/>
    <col min="4636" max="4636" width="10.5703125" customWidth="1"/>
    <col min="4637" max="4637" width="20.7109375" customWidth="1"/>
    <col min="4638" max="4638" width="2" customWidth="1"/>
    <col min="4639" max="4639" width="10.140625" customWidth="1"/>
    <col min="4640" max="4640" width="13.7109375" customWidth="1"/>
    <col min="4641" max="4641" width="16.5703125" customWidth="1"/>
    <col min="4642" max="4642" width="16" customWidth="1"/>
    <col min="4643" max="4852" width="9.42578125" customWidth="1"/>
    <col min="4853" max="4853" width="7.140625" customWidth="1"/>
    <col min="4854" max="4854" width="35.28515625" customWidth="1"/>
    <col min="4855" max="4855" width="6.7109375" customWidth="1"/>
    <col min="4856" max="4856" width="5.7109375" customWidth="1"/>
    <col min="4857" max="4857" width="5.85546875" customWidth="1"/>
    <col min="4858" max="4858" width="7.85546875" customWidth="1"/>
    <col min="4865" max="4865" width="7.140625" customWidth="1"/>
    <col min="4866" max="4866" width="39.42578125" customWidth="1"/>
    <col min="4867" max="4867" width="6.7109375" customWidth="1"/>
    <col min="4868" max="4868" width="5.7109375" customWidth="1"/>
    <col min="4869" max="4869" width="5.85546875" customWidth="1"/>
    <col min="4870" max="4870" width="7.85546875" customWidth="1"/>
    <col min="4871" max="4871" width="14.28515625" customWidth="1"/>
    <col min="4872" max="4872" width="14" customWidth="1"/>
    <col min="4873" max="4887" width="0" hidden="1" customWidth="1"/>
    <col min="4888" max="4888" width="11.5703125" customWidth="1"/>
    <col min="4889" max="4889" width="11.85546875" customWidth="1"/>
    <col min="4890" max="4890" width="15.7109375" customWidth="1"/>
    <col min="4891" max="4891" width="1.5703125" customWidth="1"/>
    <col min="4892" max="4892" width="10.5703125" customWidth="1"/>
    <col min="4893" max="4893" width="20.7109375" customWidth="1"/>
    <col min="4894" max="4894" width="2" customWidth="1"/>
    <col min="4895" max="4895" width="10.140625" customWidth="1"/>
    <col min="4896" max="4896" width="13.7109375" customWidth="1"/>
    <col min="4897" max="4897" width="16.5703125" customWidth="1"/>
    <col min="4898" max="4898" width="16" customWidth="1"/>
    <col min="4899" max="5108" width="9.42578125" customWidth="1"/>
    <col min="5109" max="5109" width="7.140625" customWidth="1"/>
    <col min="5110" max="5110" width="35.28515625" customWidth="1"/>
    <col min="5111" max="5111" width="6.7109375" customWidth="1"/>
    <col min="5112" max="5112" width="5.7109375" customWidth="1"/>
    <col min="5113" max="5113" width="5.85546875" customWidth="1"/>
    <col min="5114" max="5114" width="7.85546875" customWidth="1"/>
    <col min="5121" max="5121" width="7.140625" customWidth="1"/>
    <col min="5122" max="5122" width="39.42578125" customWidth="1"/>
    <col min="5123" max="5123" width="6.7109375" customWidth="1"/>
    <col min="5124" max="5124" width="5.7109375" customWidth="1"/>
    <col min="5125" max="5125" width="5.85546875" customWidth="1"/>
    <col min="5126" max="5126" width="7.85546875" customWidth="1"/>
    <col min="5127" max="5127" width="14.28515625" customWidth="1"/>
    <col min="5128" max="5128" width="14" customWidth="1"/>
    <col min="5129" max="5143" width="0" hidden="1" customWidth="1"/>
    <col min="5144" max="5144" width="11.5703125" customWidth="1"/>
    <col min="5145" max="5145" width="11.85546875" customWidth="1"/>
    <col min="5146" max="5146" width="15.7109375" customWidth="1"/>
    <col min="5147" max="5147" width="1.5703125" customWidth="1"/>
    <col min="5148" max="5148" width="10.5703125" customWidth="1"/>
    <col min="5149" max="5149" width="20.7109375" customWidth="1"/>
    <col min="5150" max="5150" width="2" customWidth="1"/>
    <col min="5151" max="5151" width="10.140625" customWidth="1"/>
    <col min="5152" max="5152" width="13.7109375" customWidth="1"/>
    <col min="5153" max="5153" width="16.5703125" customWidth="1"/>
    <col min="5154" max="5154" width="16" customWidth="1"/>
    <col min="5155" max="5364" width="9.42578125" customWidth="1"/>
    <col min="5365" max="5365" width="7.140625" customWidth="1"/>
    <col min="5366" max="5366" width="35.28515625" customWidth="1"/>
    <col min="5367" max="5367" width="6.7109375" customWidth="1"/>
    <col min="5368" max="5368" width="5.7109375" customWidth="1"/>
    <col min="5369" max="5369" width="5.85546875" customWidth="1"/>
    <col min="5370" max="5370" width="7.85546875" customWidth="1"/>
    <col min="5377" max="5377" width="7.140625" customWidth="1"/>
    <col min="5378" max="5378" width="39.42578125" customWidth="1"/>
    <col min="5379" max="5379" width="6.7109375" customWidth="1"/>
    <col min="5380" max="5380" width="5.7109375" customWidth="1"/>
    <col min="5381" max="5381" width="5.85546875" customWidth="1"/>
    <col min="5382" max="5382" width="7.85546875" customWidth="1"/>
    <col min="5383" max="5383" width="14.28515625" customWidth="1"/>
    <col min="5384" max="5384" width="14" customWidth="1"/>
    <col min="5385" max="5399" width="0" hidden="1" customWidth="1"/>
    <col min="5400" max="5400" width="11.5703125" customWidth="1"/>
    <col min="5401" max="5401" width="11.85546875" customWidth="1"/>
    <col min="5402" max="5402" width="15.7109375" customWidth="1"/>
    <col min="5403" max="5403" width="1.5703125" customWidth="1"/>
    <col min="5404" max="5404" width="10.5703125" customWidth="1"/>
    <col min="5405" max="5405" width="20.7109375" customWidth="1"/>
    <col min="5406" max="5406" width="2" customWidth="1"/>
    <col min="5407" max="5407" width="10.140625" customWidth="1"/>
    <col min="5408" max="5408" width="13.7109375" customWidth="1"/>
    <col min="5409" max="5409" width="16.5703125" customWidth="1"/>
    <col min="5410" max="5410" width="16" customWidth="1"/>
    <col min="5411" max="5620" width="9.42578125" customWidth="1"/>
    <col min="5621" max="5621" width="7.140625" customWidth="1"/>
    <col min="5622" max="5622" width="35.28515625" customWidth="1"/>
    <col min="5623" max="5623" width="6.7109375" customWidth="1"/>
    <col min="5624" max="5624" width="5.7109375" customWidth="1"/>
    <col min="5625" max="5625" width="5.85546875" customWidth="1"/>
    <col min="5626" max="5626" width="7.85546875" customWidth="1"/>
    <col min="5633" max="5633" width="7.140625" customWidth="1"/>
    <col min="5634" max="5634" width="39.42578125" customWidth="1"/>
    <col min="5635" max="5635" width="6.7109375" customWidth="1"/>
    <col min="5636" max="5636" width="5.7109375" customWidth="1"/>
    <col min="5637" max="5637" width="5.85546875" customWidth="1"/>
    <col min="5638" max="5638" width="7.85546875" customWidth="1"/>
    <col min="5639" max="5639" width="14.28515625" customWidth="1"/>
    <col min="5640" max="5640" width="14" customWidth="1"/>
    <col min="5641" max="5655" width="0" hidden="1" customWidth="1"/>
    <col min="5656" max="5656" width="11.5703125" customWidth="1"/>
    <col min="5657" max="5657" width="11.85546875" customWidth="1"/>
    <col min="5658" max="5658" width="15.7109375" customWidth="1"/>
    <col min="5659" max="5659" width="1.5703125" customWidth="1"/>
    <col min="5660" max="5660" width="10.5703125" customWidth="1"/>
    <col min="5661" max="5661" width="20.7109375" customWidth="1"/>
    <col min="5662" max="5662" width="2" customWidth="1"/>
    <col min="5663" max="5663" width="10.140625" customWidth="1"/>
    <col min="5664" max="5664" width="13.7109375" customWidth="1"/>
    <col min="5665" max="5665" width="16.5703125" customWidth="1"/>
    <col min="5666" max="5666" width="16" customWidth="1"/>
    <col min="5667" max="5876" width="9.42578125" customWidth="1"/>
    <col min="5877" max="5877" width="7.140625" customWidth="1"/>
    <col min="5878" max="5878" width="35.28515625" customWidth="1"/>
    <col min="5879" max="5879" width="6.7109375" customWidth="1"/>
    <col min="5880" max="5880" width="5.7109375" customWidth="1"/>
    <col min="5881" max="5881" width="5.85546875" customWidth="1"/>
    <col min="5882" max="5882" width="7.85546875" customWidth="1"/>
    <col min="5889" max="5889" width="7.140625" customWidth="1"/>
    <col min="5890" max="5890" width="39.42578125" customWidth="1"/>
    <col min="5891" max="5891" width="6.7109375" customWidth="1"/>
    <col min="5892" max="5892" width="5.7109375" customWidth="1"/>
    <col min="5893" max="5893" width="5.85546875" customWidth="1"/>
    <col min="5894" max="5894" width="7.85546875" customWidth="1"/>
    <col min="5895" max="5895" width="14.28515625" customWidth="1"/>
    <col min="5896" max="5896" width="14" customWidth="1"/>
    <col min="5897" max="5911" width="0" hidden="1" customWidth="1"/>
    <col min="5912" max="5912" width="11.5703125" customWidth="1"/>
    <col min="5913" max="5913" width="11.85546875" customWidth="1"/>
    <col min="5914" max="5914" width="15.7109375" customWidth="1"/>
    <col min="5915" max="5915" width="1.5703125" customWidth="1"/>
    <col min="5916" max="5916" width="10.5703125" customWidth="1"/>
    <col min="5917" max="5917" width="20.7109375" customWidth="1"/>
    <col min="5918" max="5918" width="2" customWidth="1"/>
    <col min="5919" max="5919" width="10.140625" customWidth="1"/>
    <col min="5920" max="5920" width="13.7109375" customWidth="1"/>
    <col min="5921" max="5921" width="16.5703125" customWidth="1"/>
    <col min="5922" max="5922" width="16" customWidth="1"/>
    <col min="5923" max="6132" width="9.42578125" customWidth="1"/>
    <col min="6133" max="6133" width="7.140625" customWidth="1"/>
    <col min="6134" max="6134" width="35.28515625" customWidth="1"/>
    <col min="6135" max="6135" width="6.7109375" customWidth="1"/>
    <col min="6136" max="6136" width="5.7109375" customWidth="1"/>
    <col min="6137" max="6137" width="5.85546875" customWidth="1"/>
    <col min="6138" max="6138" width="7.85546875" customWidth="1"/>
    <col min="6145" max="6145" width="7.140625" customWidth="1"/>
    <col min="6146" max="6146" width="39.42578125" customWidth="1"/>
    <col min="6147" max="6147" width="6.7109375" customWidth="1"/>
    <col min="6148" max="6148" width="5.7109375" customWidth="1"/>
    <col min="6149" max="6149" width="5.85546875" customWidth="1"/>
    <col min="6150" max="6150" width="7.85546875" customWidth="1"/>
    <col min="6151" max="6151" width="14.28515625" customWidth="1"/>
    <col min="6152" max="6152" width="14" customWidth="1"/>
    <col min="6153" max="6167" width="0" hidden="1" customWidth="1"/>
    <col min="6168" max="6168" width="11.5703125" customWidth="1"/>
    <col min="6169" max="6169" width="11.85546875" customWidth="1"/>
    <col min="6170" max="6170" width="15.7109375" customWidth="1"/>
    <col min="6171" max="6171" width="1.5703125" customWidth="1"/>
    <col min="6172" max="6172" width="10.5703125" customWidth="1"/>
    <col min="6173" max="6173" width="20.7109375" customWidth="1"/>
    <col min="6174" max="6174" width="2" customWidth="1"/>
    <col min="6175" max="6175" width="10.140625" customWidth="1"/>
    <col min="6176" max="6176" width="13.7109375" customWidth="1"/>
    <col min="6177" max="6177" width="16.5703125" customWidth="1"/>
    <col min="6178" max="6178" width="16" customWidth="1"/>
    <col min="6179" max="6388" width="9.42578125" customWidth="1"/>
    <col min="6389" max="6389" width="7.140625" customWidth="1"/>
    <col min="6390" max="6390" width="35.28515625" customWidth="1"/>
    <col min="6391" max="6391" width="6.7109375" customWidth="1"/>
    <col min="6392" max="6392" width="5.7109375" customWidth="1"/>
    <col min="6393" max="6393" width="5.85546875" customWidth="1"/>
    <col min="6394" max="6394" width="7.85546875" customWidth="1"/>
    <col min="6401" max="6401" width="7.140625" customWidth="1"/>
    <col min="6402" max="6402" width="39.42578125" customWidth="1"/>
    <col min="6403" max="6403" width="6.7109375" customWidth="1"/>
    <col min="6404" max="6404" width="5.7109375" customWidth="1"/>
    <col min="6405" max="6405" width="5.85546875" customWidth="1"/>
    <col min="6406" max="6406" width="7.85546875" customWidth="1"/>
    <col min="6407" max="6407" width="14.28515625" customWidth="1"/>
    <col min="6408" max="6408" width="14" customWidth="1"/>
    <col min="6409" max="6423" width="0" hidden="1" customWidth="1"/>
    <col min="6424" max="6424" width="11.5703125" customWidth="1"/>
    <col min="6425" max="6425" width="11.85546875" customWidth="1"/>
    <col min="6426" max="6426" width="15.7109375" customWidth="1"/>
    <col min="6427" max="6427" width="1.5703125" customWidth="1"/>
    <col min="6428" max="6428" width="10.5703125" customWidth="1"/>
    <col min="6429" max="6429" width="20.7109375" customWidth="1"/>
    <col min="6430" max="6430" width="2" customWidth="1"/>
    <col min="6431" max="6431" width="10.140625" customWidth="1"/>
    <col min="6432" max="6432" width="13.7109375" customWidth="1"/>
    <col min="6433" max="6433" width="16.5703125" customWidth="1"/>
    <col min="6434" max="6434" width="16" customWidth="1"/>
    <col min="6435" max="6644" width="9.42578125" customWidth="1"/>
    <col min="6645" max="6645" width="7.140625" customWidth="1"/>
    <col min="6646" max="6646" width="35.28515625" customWidth="1"/>
    <col min="6647" max="6647" width="6.7109375" customWidth="1"/>
    <col min="6648" max="6648" width="5.7109375" customWidth="1"/>
    <col min="6649" max="6649" width="5.85546875" customWidth="1"/>
    <col min="6650" max="6650" width="7.85546875" customWidth="1"/>
    <col min="6657" max="6657" width="7.140625" customWidth="1"/>
    <col min="6658" max="6658" width="39.42578125" customWidth="1"/>
    <col min="6659" max="6659" width="6.7109375" customWidth="1"/>
    <col min="6660" max="6660" width="5.7109375" customWidth="1"/>
    <col min="6661" max="6661" width="5.85546875" customWidth="1"/>
    <col min="6662" max="6662" width="7.85546875" customWidth="1"/>
    <col min="6663" max="6663" width="14.28515625" customWidth="1"/>
    <col min="6664" max="6664" width="14" customWidth="1"/>
    <col min="6665" max="6679" width="0" hidden="1" customWidth="1"/>
    <col min="6680" max="6680" width="11.5703125" customWidth="1"/>
    <col min="6681" max="6681" width="11.85546875" customWidth="1"/>
    <col min="6682" max="6682" width="15.7109375" customWidth="1"/>
    <col min="6683" max="6683" width="1.5703125" customWidth="1"/>
    <col min="6684" max="6684" width="10.5703125" customWidth="1"/>
    <col min="6685" max="6685" width="20.7109375" customWidth="1"/>
    <col min="6686" max="6686" width="2" customWidth="1"/>
    <col min="6687" max="6687" width="10.140625" customWidth="1"/>
    <col min="6688" max="6688" width="13.7109375" customWidth="1"/>
    <col min="6689" max="6689" width="16.5703125" customWidth="1"/>
    <col min="6690" max="6690" width="16" customWidth="1"/>
    <col min="6691" max="6900" width="9.42578125" customWidth="1"/>
    <col min="6901" max="6901" width="7.140625" customWidth="1"/>
    <col min="6902" max="6902" width="35.28515625" customWidth="1"/>
    <col min="6903" max="6903" width="6.7109375" customWidth="1"/>
    <col min="6904" max="6904" width="5.7109375" customWidth="1"/>
    <col min="6905" max="6905" width="5.85546875" customWidth="1"/>
    <col min="6906" max="6906" width="7.85546875" customWidth="1"/>
    <col min="6913" max="6913" width="7.140625" customWidth="1"/>
    <col min="6914" max="6914" width="39.42578125" customWidth="1"/>
    <col min="6915" max="6915" width="6.7109375" customWidth="1"/>
    <col min="6916" max="6916" width="5.7109375" customWidth="1"/>
    <col min="6917" max="6917" width="5.85546875" customWidth="1"/>
    <col min="6918" max="6918" width="7.85546875" customWidth="1"/>
    <col min="6919" max="6919" width="14.28515625" customWidth="1"/>
    <col min="6920" max="6920" width="14" customWidth="1"/>
    <col min="6921" max="6935" width="0" hidden="1" customWidth="1"/>
    <col min="6936" max="6936" width="11.5703125" customWidth="1"/>
    <col min="6937" max="6937" width="11.85546875" customWidth="1"/>
    <col min="6938" max="6938" width="15.7109375" customWidth="1"/>
    <col min="6939" max="6939" width="1.5703125" customWidth="1"/>
    <col min="6940" max="6940" width="10.5703125" customWidth="1"/>
    <col min="6941" max="6941" width="20.7109375" customWidth="1"/>
    <col min="6942" max="6942" width="2" customWidth="1"/>
    <col min="6943" max="6943" width="10.140625" customWidth="1"/>
    <col min="6944" max="6944" width="13.7109375" customWidth="1"/>
    <col min="6945" max="6945" width="16.5703125" customWidth="1"/>
    <col min="6946" max="6946" width="16" customWidth="1"/>
    <col min="6947" max="7156" width="9.42578125" customWidth="1"/>
    <col min="7157" max="7157" width="7.140625" customWidth="1"/>
    <col min="7158" max="7158" width="35.28515625" customWidth="1"/>
    <col min="7159" max="7159" width="6.7109375" customWidth="1"/>
    <col min="7160" max="7160" width="5.7109375" customWidth="1"/>
    <col min="7161" max="7161" width="5.85546875" customWidth="1"/>
    <col min="7162" max="7162" width="7.85546875" customWidth="1"/>
    <col min="7169" max="7169" width="7.140625" customWidth="1"/>
    <col min="7170" max="7170" width="39.42578125" customWidth="1"/>
    <col min="7171" max="7171" width="6.7109375" customWidth="1"/>
    <col min="7172" max="7172" width="5.7109375" customWidth="1"/>
    <col min="7173" max="7173" width="5.85546875" customWidth="1"/>
    <col min="7174" max="7174" width="7.85546875" customWidth="1"/>
    <col min="7175" max="7175" width="14.28515625" customWidth="1"/>
    <col min="7176" max="7176" width="14" customWidth="1"/>
    <col min="7177" max="7191" width="0" hidden="1" customWidth="1"/>
    <col min="7192" max="7192" width="11.5703125" customWidth="1"/>
    <col min="7193" max="7193" width="11.85546875" customWidth="1"/>
    <col min="7194" max="7194" width="15.7109375" customWidth="1"/>
    <col min="7195" max="7195" width="1.5703125" customWidth="1"/>
    <col min="7196" max="7196" width="10.5703125" customWidth="1"/>
    <col min="7197" max="7197" width="20.7109375" customWidth="1"/>
    <col min="7198" max="7198" width="2" customWidth="1"/>
    <col min="7199" max="7199" width="10.140625" customWidth="1"/>
    <col min="7200" max="7200" width="13.7109375" customWidth="1"/>
    <col min="7201" max="7201" width="16.5703125" customWidth="1"/>
    <col min="7202" max="7202" width="16" customWidth="1"/>
    <col min="7203" max="7412" width="9.42578125" customWidth="1"/>
    <col min="7413" max="7413" width="7.140625" customWidth="1"/>
    <col min="7414" max="7414" width="35.28515625" customWidth="1"/>
    <col min="7415" max="7415" width="6.7109375" customWidth="1"/>
    <col min="7416" max="7416" width="5.7109375" customWidth="1"/>
    <col min="7417" max="7417" width="5.85546875" customWidth="1"/>
    <col min="7418" max="7418" width="7.85546875" customWidth="1"/>
    <col min="7425" max="7425" width="7.140625" customWidth="1"/>
    <col min="7426" max="7426" width="39.42578125" customWidth="1"/>
    <col min="7427" max="7427" width="6.7109375" customWidth="1"/>
    <col min="7428" max="7428" width="5.7109375" customWidth="1"/>
    <col min="7429" max="7429" width="5.85546875" customWidth="1"/>
    <col min="7430" max="7430" width="7.85546875" customWidth="1"/>
    <col min="7431" max="7431" width="14.28515625" customWidth="1"/>
    <col min="7432" max="7432" width="14" customWidth="1"/>
    <col min="7433" max="7447" width="0" hidden="1" customWidth="1"/>
    <col min="7448" max="7448" width="11.5703125" customWidth="1"/>
    <col min="7449" max="7449" width="11.85546875" customWidth="1"/>
    <col min="7450" max="7450" width="15.7109375" customWidth="1"/>
    <col min="7451" max="7451" width="1.5703125" customWidth="1"/>
    <col min="7452" max="7452" width="10.5703125" customWidth="1"/>
    <col min="7453" max="7453" width="20.7109375" customWidth="1"/>
    <col min="7454" max="7454" width="2" customWidth="1"/>
    <col min="7455" max="7455" width="10.140625" customWidth="1"/>
    <col min="7456" max="7456" width="13.7109375" customWidth="1"/>
    <col min="7457" max="7457" width="16.5703125" customWidth="1"/>
    <col min="7458" max="7458" width="16" customWidth="1"/>
    <col min="7459" max="7668" width="9.42578125" customWidth="1"/>
    <col min="7669" max="7669" width="7.140625" customWidth="1"/>
    <col min="7670" max="7670" width="35.28515625" customWidth="1"/>
    <col min="7671" max="7671" width="6.7109375" customWidth="1"/>
    <col min="7672" max="7672" width="5.7109375" customWidth="1"/>
    <col min="7673" max="7673" width="5.85546875" customWidth="1"/>
    <col min="7674" max="7674" width="7.85546875" customWidth="1"/>
    <col min="7681" max="7681" width="7.140625" customWidth="1"/>
    <col min="7682" max="7682" width="39.42578125" customWidth="1"/>
    <col min="7683" max="7683" width="6.7109375" customWidth="1"/>
    <col min="7684" max="7684" width="5.7109375" customWidth="1"/>
    <col min="7685" max="7685" width="5.85546875" customWidth="1"/>
    <col min="7686" max="7686" width="7.85546875" customWidth="1"/>
    <col min="7687" max="7687" width="14.28515625" customWidth="1"/>
    <col min="7688" max="7688" width="14" customWidth="1"/>
    <col min="7689" max="7703" width="0" hidden="1" customWidth="1"/>
    <col min="7704" max="7704" width="11.5703125" customWidth="1"/>
    <col min="7705" max="7705" width="11.85546875" customWidth="1"/>
    <col min="7706" max="7706" width="15.7109375" customWidth="1"/>
    <col min="7707" max="7707" width="1.5703125" customWidth="1"/>
    <col min="7708" max="7708" width="10.5703125" customWidth="1"/>
    <col min="7709" max="7709" width="20.7109375" customWidth="1"/>
    <col min="7710" max="7710" width="2" customWidth="1"/>
    <col min="7711" max="7711" width="10.140625" customWidth="1"/>
    <col min="7712" max="7712" width="13.7109375" customWidth="1"/>
    <col min="7713" max="7713" width="16.5703125" customWidth="1"/>
    <col min="7714" max="7714" width="16" customWidth="1"/>
    <col min="7715" max="7924" width="9.42578125" customWidth="1"/>
    <col min="7925" max="7925" width="7.140625" customWidth="1"/>
    <col min="7926" max="7926" width="35.28515625" customWidth="1"/>
    <col min="7927" max="7927" width="6.7109375" customWidth="1"/>
    <col min="7928" max="7928" width="5.7109375" customWidth="1"/>
    <col min="7929" max="7929" width="5.85546875" customWidth="1"/>
    <col min="7930" max="7930" width="7.85546875" customWidth="1"/>
    <col min="7937" max="7937" width="7.140625" customWidth="1"/>
    <col min="7938" max="7938" width="39.42578125" customWidth="1"/>
    <col min="7939" max="7939" width="6.7109375" customWidth="1"/>
    <col min="7940" max="7940" width="5.7109375" customWidth="1"/>
    <col min="7941" max="7941" width="5.85546875" customWidth="1"/>
    <col min="7942" max="7942" width="7.85546875" customWidth="1"/>
    <col min="7943" max="7943" width="14.28515625" customWidth="1"/>
    <col min="7944" max="7944" width="14" customWidth="1"/>
    <col min="7945" max="7959" width="0" hidden="1" customWidth="1"/>
    <col min="7960" max="7960" width="11.5703125" customWidth="1"/>
    <col min="7961" max="7961" width="11.85546875" customWidth="1"/>
    <col min="7962" max="7962" width="15.7109375" customWidth="1"/>
    <col min="7963" max="7963" width="1.5703125" customWidth="1"/>
    <col min="7964" max="7964" width="10.5703125" customWidth="1"/>
    <col min="7965" max="7965" width="20.7109375" customWidth="1"/>
    <col min="7966" max="7966" width="2" customWidth="1"/>
    <col min="7967" max="7967" width="10.140625" customWidth="1"/>
    <col min="7968" max="7968" width="13.7109375" customWidth="1"/>
    <col min="7969" max="7969" width="16.5703125" customWidth="1"/>
    <col min="7970" max="7970" width="16" customWidth="1"/>
    <col min="7971" max="8180" width="9.42578125" customWidth="1"/>
    <col min="8181" max="8181" width="7.140625" customWidth="1"/>
    <col min="8182" max="8182" width="35.28515625" customWidth="1"/>
    <col min="8183" max="8183" width="6.7109375" customWidth="1"/>
    <col min="8184" max="8184" width="5.7109375" customWidth="1"/>
    <col min="8185" max="8185" width="5.85546875" customWidth="1"/>
    <col min="8186" max="8186" width="7.85546875" customWidth="1"/>
    <col min="8193" max="8193" width="7.140625" customWidth="1"/>
    <col min="8194" max="8194" width="39.42578125" customWidth="1"/>
    <col min="8195" max="8195" width="6.7109375" customWidth="1"/>
    <col min="8196" max="8196" width="5.7109375" customWidth="1"/>
    <col min="8197" max="8197" width="5.85546875" customWidth="1"/>
    <col min="8198" max="8198" width="7.85546875" customWidth="1"/>
    <col min="8199" max="8199" width="14.28515625" customWidth="1"/>
    <col min="8200" max="8200" width="14" customWidth="1"/>
    <col min="8201" max="8215" width="0" hidden="1" customWidth="1"/>
    <col min="8216" max="8216" width="11.5703125" customWidth="1"/>
    <col min="8217" max="8217" width="11.85546875" customWidth="1"/>
    <col min="8218" max="8218" width="15.7109375" customWidth="1"/>
    <col min="8219" max="8219" width="1.5703125" customWidth="1"/>
    <col min="8220" max="8220" width="10.5703125" customWidth="1"/>
    <col min="8221" max="8221" width="20.7109375" customWidth="1"/>
    <col min="8222" max="8222" width="2" customWidth="1"/>
    <col min="8223" max="8223" width="10.140625" customWidth="1"/>
    <col min="8224" max="8224" width="13.7109375" customWidth="1"/>
    <col min="8225" max="8225" width="16.5703125" customWidth="1"/>
    <col min="8226" max="8226" width="16" customWidth="1"/>
    <col min="8227" max="8436" width="9.42578125" customWidth="1"/>
    <col min="8437" max="8437" width="7.140625" customWidth="1"/>
    <col min="8438" max="8438" width="35.28515625" customWidth="1"/>
    <col min="8439" max="8439" width="6.7109375" customWidth="1"/>
    <col min="8440" max="8440" width="5.7109375" customWidth="1"/>
    <col min="8441" max="8441" width="5.85546875" customWidth="1"/>
    <col min="8442" max="8442" width="7.85546875" customWidth="1"/>
    <col min="8449" max="8449" width="7.140625" customWidth="1"/>
    <col min="8450" max="8450" width="39.42578125" customWidth="1"/>
    <col min="8451" max="8451" width="6.7109375" customWidth="1"/>
    <col min="8452" max="8452" width="5.7109375" customWidth="1"/>
    <col min="8453" max="8453" width="5.85546875" customWidth="1"/>
    <col min="8454" max="8454" width="7.85546875" customWidth="1"/>
    <col min="8455" max="8455" width="14.28515625" customWidth="1"/>
    <col min="8456" max="8456" width="14" customWidth="1"/>
    <col min="8457" max="8471" width="0" hidden="1" customWidth="1"/>
    <col min="8472" max="8472" width="11.5703125" customWidth="1"/>
    <col min="8473" max="8473" width="11.85546875" customWidth="1"/>
    <col min="8474" max="8474" width="15.7109375" customWidth="1"/>
    <col min="8475" max="8475" width="1.5703125" customWidth="1"/>
    <col min="8476" max="8476" width="10.5703125" customWidth="1"/>
    <col min="8477" max="8477" width="20.7109375" customWidth="1"/>
    <col min="8478" max="8478" width="2" customWidth="1"/>
    <col min="8479" max="8479" width="10.140625" customWidth="1"/>
    <col min="8480" max="8480" width="13.7109375" customWidth="1"/>
    <col min="8481" max="8481" width="16.5703125" customWidth="1"/>
    <col min="8482" max="8482" width="16" customWidth="1"/>
    <col min="8483" max="8692" width="9.42578125" customWidth="1"/>
    <col min="8693" max="8693" width="7.140625" customWidth="1"/>
    <col min="8694" max="8694" width="35.28515625" customWidth="1"/>
    <col min="8695" max="8695" width="6.7109375" customWidth="1"/>
    <col min="8696" max="8696" width="5.7109375" customWidth="1"/>
    <col min="8697" max="8697" width="5.85546875" customWidth="1"/>
    <col min="8698" max="8698" width="7.85546875" customWidth="1"/>
    <col min="8705" max="8705" width="7.140625" customWidth="1"/>
    <col min="8706" max="8706" width="39.42578125" customWidth="1"/>
    <col min="8707" max="8707" width="6.7109375" customWidth="1"/>
    <col min="8708" max="8708" width="5.7109375" customWidth="1"/>
    <col min="8709" max="8709" width="5.85546875" customWidth="1"/>
    <col min="8710" max="8710" width="7.85546875" customWidth="1"/>
    <col min="8711" max="8711" width="14.28515625" customWidth="1"/>
    <col min="8712" max="8712" width="14" customWidth="1"/>
    <col min="8713" max="8727" width="0" hidden="1" customWidth="1"/>
    <col min="8728" max="8728" width="11.5703125" customWidth="1"/>
    <col min="8729" max="8729" width="11.85546875" customWidth="1"/>
    <col min="8730" max="8730" width="15.7109375" customWidth="1"/>
    <col min="8731" max="8731" width="1.5703125" customWidth="1"/>
    <col min="8732" max="8732" width="10.5703125" customWidth="1"/>
    <col min="8733" max="8733" width="20.7109375" customWidth="1"/>
    <col min="8734" max="8734" width="2" customWidth="1"/>
    <col min="8735" max="8735" width="10.140625" customWidth="1"/>
    <col min="8736" max="8736" width="13.7109375" customWidth="1"/>
    <col min="8737" max="8737" width="16.5703125" customWidth="1"/>
    <col min="8738" max="8738" width="16" customWidth="1"/>
    <col min="8739" max="8948" width="9.42578125" customWidth="1"/>
    <col min="8949" max="8949" width="7.140625" customWidth="1"/>
    <col min="8950" max="8950" width="35.28515625" customWidth="1"/>
    <col min="8951" max="8951" width="6.7109375" customWidth="1"/>
    <col min="8952" max="8952" width="5.7109375" customWidth="1"/>
    <col min="8953" max="8953" width="5.85546875" customWidth="1"/>
    <col min="8954" max="8954" width="7.85546875" customWidth="1"/>
    <col min="8961" max="8961" width="7.140625" customWidth="1"/>
    <col min="8962" max="8962" width="39.42578125" customWidth="1"/>
    <col min="8963" max="8963" width="6.7109375" customWidth="1"/>
    <col min="8964" max="8964" width="5.7109375" customWidth="1"/>
    <col min="8965" max="8965" width="5.85546875" customWidth="1"/>
    <col min="8966" max="8966" width="7.85546875" customWidth="1"/>
    <col min="8967" max="8967" width="14.28515625" customWidth="1"/>
    <col min="8968" max="8968" width="14" customWidth="1"/>
    <col min="8969" max="8983" width="0" hidden="1" customWidth="1"/>
    <col min="8984" max="8984" width="11.5703125" customWidth="1"/>
    <col min="8985" max="8985" width="11.85546875" customWidth="1"/>
    <col min="8986" max="8986" width="15.7109375" customWidth="1"/>
    <col min="8987" max="8987" width="1.5703125" customWidth="1"/>
    <col min="8988" max="8988" width="10.5703125" customWidth="1"/>
    <col min="8989" max="8989" width="20.7109375" customWidth="1"/>
    <col min="8990" max="8990" width="2" customWidth="1"/>
    <col min="8991" max="8991" width="10.140625" customWidth="1"/>
    <col min="8992" max="8992" width="13.7109375" customWidth="1"/>
    <col min="8993" max="8993" width="16.5703125" customWidth="1"/>
    <col min="8994" max="8994" width="16" customWidth="1"/>
    <col min="8995" max="9204" width="9.42578125" customWidth="1"/>
    <col min="9205" max="9205" width="7.140625" customWidth="1"/>
    <col min="9206" max="9206" width="35.28515625" customWidth="1"/>
    <col min="9207" max="9207" width="6.7109375" customWidth="1"/>
    <col min="9208" max="9208" width="5.7109375" customWidth="1"/>
    <col min="9209" max="9209" width="5.85546875" customWidth="1"/>
    <col min="9210" max="9210" width="7.85546875" customWidth="1"/>
    <col min="9217" max="9217" width="7.140625" customWidth="1"/>
    <col min="9218" max="9218" width="39.42578125" customWidth="1"/>
    <col min="9219" max="9219" width="6.7109375" customWidth="1"/>
    <col min="9220" max="9220" width="5.7109375" customWidth="1"/>
    <col min="9221" max="9221" width="5.85546875" customWidth="1"/>
    <col min="9222" max="9222" width="7.85546875" customWidth="1"/>
    <col min="9223" max="9223" width="14.28515625" customWidth="1"/>
    <col min="9224" max="9224" width="14" customWidth="1"/>
    <col min="9225" max="9239" width="0" hidden="1" customWidth="1"/>
    <col min="9240" max="9240" width="11.5703125" customWidth="1"/>
    <col min="9241" max="9241" width="11.85546875" customWidth="1"/>
    <col min="9242" max="9242" width="15.7109375" customWidth="1"/>
    <col min="9243" max="9243" width="1.5703125" customWidth="1"/>
    <col min="9244" max="9244" width="10.5703125" customWidth="1"/>
    <col min="9245" max="9245" width="20.7109375" customWidth="1"/>
    <col min="9246" max="9246" width="2" customWidth="1"/>
    <col min="9247" max="9247" width="10.140625" customWidth="1"/>
    <col min="9248" max="9248" width="13.7109375" customWidth="1"/>
    <col min="9249" max="9249" width="16.5703125" customWidth="1"/>
    <col min="9250" max="9250" width="16" customWidth="1"/>
    <col min="9251" max="9460" width="9.42578125" customWidth="1"/>
    <col min="9461" max="9461" width="7.140625" customWidth="1"/>
    <col min="9462" max="9462" width="35.28515625" customWidth="1"/>
    <col min="9463" max="9463" width="6.7109375" customWidth="1"/>
    <col min="9464" max="9464" width="5.7109375" customWidth="1"/>
    <col min="9465" max="9465" width="5.85546875" customWidth="1"/>
    <col min="9466" max="9466" width="7.85546875" customWidth="1"/>
    <col min="9473" max="9473" width="7.140625" customWidth="1"/>
    <col min="9474" max="9474" width="39.42578125" customWidth="1"/>
    <col min="9475" max="9475" width="6.7109375" customWidth="1"/>
    <col min="9476" max="9476" width="5.7109375" customWidth="1"/>
    <col min="9477" max="9477" width="5.85546875" customWidth="1"/>
    <col min="9478" max="9478" width="7.85546875" customWidth="1"/>
    <col min="9479" max="9479" width="14.28515625" customWidth="1"/>
    <col min="9480" max="9480" width="14" customWidth="1"/>
    <col min="9481" max="9495" width="0" hidden="1" customWidth="1"/>
    <col min="9496" max="9496" width="11.5703125" customWidth="1"/>
    <col min="9497" max="9497" width="11.85546875" customWidth="1"/>
    <col min="9498" max="9498" width="15.7109375" customWidth="1"/>
    <col min="9499" max="9499" width="1.5703125" customWidth="1"/>
    <col min="9500" max="9500" width="10.5703125" customWidth="1"/>
    <col min="9501" max="9501" width="20.7109375" customWidth="1"/>
    <col min="9502" max="9502" width="2" customWidth="1"/>
    <col min="9503" max="9503" width="10.140625" customWidth="1"/>
    <col min="9504" max="9504" width="13.7109375" customWidth="1"/>
    <col min="9505" max="9505" width="16.5703125" customWidth="1"/>
    <col min="9506" max="9506" width="16" customWidth="1"/>
    <col min="9507" max="9716" width="9.42578125" customWidth="1"/>
    <col min="9717" max="9717" width="7.140625" customWidth="1"/>
    <col min="9718" max="9718" width="35.28515625" customWidth="1"/>
    <col min="9719" max="9719" width="6.7109375" customWidth="1"/>
    <col min="9720" max="9720" width="5.7109375" customWidth="1"/>
    <col min="9721" max="9721" width="5.85546875" customWidth="1"/>
    <col min="9722" max="9722" width="7.85546875" customWidth="1"/>
    <col min="9729" max="9729" width="7.140625" customWidth="1"/>
    <col min="9730" max="9730" width="39.42578125" customWidth="1"/>
    <col min="9731" max="9731" width="6.7109375" customWidth="1"/>
    <col min="9732" max="9732" width="5.7109375" customWidth="1"/>
    <col min="9733" max="9733" width="5.85546875" customWidth="1"/>
    <col min="9734" max="9734" width="7.85546875" customWidth="1"/>
    <col min="9735" max="9735" width="14.28515625" customWidth="1"/>
    <col min="9736" max="9736" width="14" customWidth="1"/>
    <col min="9737" max="9751" width="0" hidden="1" customWidth="1"/>
    <col min="9752" max="9752" width="11.5703125" customWidth="1"/>
    <col min="9753" max="9753" width="11.85546875" customWidth="1"/>
    <col min="9754" max="9754" width="15.7109375" customWidth="1"/>
    <col min="9755" max="9755" width="1.5703125" customWidth="1"/>
    <col min="9756" max="9756" width="10.5703125" customWidth="1"/>
    <col min="9757" max="9757" width="20.7109375" customWidth="1"/>
    <col min="9758" max="9758" width="2" customWidth="1"/>
    <col min="9759" max="9759" width="10.140625" customWidth="1"/>
    <col min="9760" max="9760" width="13.7109375" customWidth="1"/>
    <col min="9761" max="9761" width="16.5703125" customWidth="1"/>
    <col min="9762" max="9762" width="16" customWidth="1"/>
    <col min="9763" max="9972" width="9.42578125" customWidth="1"/>
    <col min="9973" max="9973" width="7.140625" customWidth="1"/>
    <col min="9974" max="9974" width="35.28515625" customWidth="1"/>
    <col min="9975" max="9975" width="6.7109375" customWidth="1"/>
    <col min="9976" max="9976" width="5.7109375" customWidth="1"/>
    <col min="9977" max="9977" width="5.85546875" customWidth="1"/>
    <col min="9978" max="9978" width="7.85546875" customWidth="1"/>
    <col min="9985" max="9985" width="7.140625" customWidth="1"/>
    <col min="9986" max="9986" width="39.42578125" customWidth="1"/>
    <col min="9987" max="9987" width="6.7109375" customWidth="1"/>
    <col min="9988" max="9988" width="5.7109375" customWidth="1"/>
    <col min="9989" max="9989" width="5.85546875" customWidth="1"/>
    <col min="9990" max="9990" width="7.85546875" customWidth="1"/>
    <col min="9991" max="9991" width="14.28515625" customWidth="1"/>
    <col min="9992" max="9992" width="14" customWidth="1"/>
    <col min="9993" max="10007" width="0" hidden="1" customWidth="1"/>
    <col min="10008" max="10008" width="11.5703125" customWidth="1"/>
    <col min="10009" max="10009" width="11.85546875" customWidth="1"/>
    <col min="10010" max="10010" width="15.7109375" customWidth="1"/>
    <col min="10011" max="10011" width="1.5703125" customWidth="1"/>
    <col min="10012" max="10012" width="10.5703125" customWidth="1"/>
    <col min="10013" max="10013" width="20.7109375" customWidth="1"/>
    <col min="10014" max="10014" width="2" customWidth="1"/>
    <col min="10015" max="10015" width="10.140625" customWidth="1"/>
    <col min="10016" max="10016" width="13.7109375" customWidth="1"/>
    <col min="10017" max="10017" width="16.5703125" customWidth="1"/>
    <col min="10018" max="10018" width="16" customWidth="1"/>
    <col min="10019" max="10228" width="9.42578125" customWidth="1"/>
    <col min="10229" max="10229" width="7.140625" customWidth="1"/>
    <col min="10230" max="10230" width="35.28515625" customWidth="1"/>
    <col min="10231" max="10231" width="6.7109375" customWidth="1"/>
    <col min="10232" max="10232" width="5.7109375" customWidth="1"/>
    <col min="10233" max="10233" width="5.85546875" customWidth="1"/>
    <col min="10234" max="10234" width="7.85546875" customWidth="1"/>
    <col min="10241" max="10241" width="7.140625" customWidth="1"/>
    <col min="10242" max="10242" width="39.42578125" customWidth="1"/>
    <col min="10243" max="10243" width="6.7109375" customWidth="1"/>
    <col min="10244" max="10244" width="5.7109375" customWidth="1"/>
    <col min="10245" max="10245" width="5.85546875" customWidth="1"/>
    <col min="10246" max="10246" width="7.85546875" customWidth="1"/>
    <col min="10247" max="10247" width="14.28515625" customWidth="1"/>
    <col min="10248" max="10248" width="14" customWidth="1"/>
    <col min="10249" max="10263" width="0" hidden="1" customWidth="1"/>
    <col min="10264" max="10264" width="11.5703125" customWidth="1"/>
    <col min="10265" max="10265" width="11.85546875" customWidth="1"/>
    <col min="10266" max="10266" width="15.7109375" customWidth="1"/>
    <col min="10267" max="10267" width="1.5703125" customWidth="1"/>
    <col min="10268" max="10268" width="10.5703125" customWidth="1"/>
    <col min="10269" max="10269" width="20.7109375" customWidth="1"/>
    <col min="10270" max="10270" width="2" customWidth="1"/>
    <col min="10271" max="10271" width="10.140625" customWidth="1"/>
    <col min="10272" max="10272" width="13.7109375" customWidth="1"/>
    <col min="10273" max="10273" width="16.5703125" customWidth="1"/>
    <col min="10274" max="10274" width="16" customWidth="1"/>
    <col min="10275" max="10484" width="9.42578125" customWidth="1"/>
    <col min="10485" max="10485" width="7.140625" customWidth="1"/>
    <col min="10486" max="10486" width="35.28515625" customWidth="1"/>
    <col min="10487" max="10487" width="6.7109375" customWidth="1"/>
    <col min="10488" max="10488" width="5.7109375" customWidth="1"/>
    <col min="10489" max="10489" width="5.85546875" customWidth="1"/>
    <col min="10490" max="10490" width="7.85546875" customWidth="1"/>
    <col min="10497" max="10497" width="7.140625" customWidth="1"/>
    <col min="10498" max="10498" width="39.42578125" customWidth="1"/>
    <col min="10499" max="10499" width="6.7109375" customWidth="1"/>
    <col min="10500" max="10500" width="5.7109375" customWidth="1"/>
    <col min="10501" max="10501" width="5.85546875" customWidth="1"/>
    <col min="10502" max="10502" width="7.85546875" customWidth="1"/>
    <col min="10503" max="10503" width="14.28515625" customWidth="1"/>
    <col min="10504" max="10504" width="14" customWidth="1"/>
    <col min="10505" max="10519" width="0" hidden="1" customWidth="1"/>
    <col min="10520" max="10520" width="11.5703125" customWidth="1"/>
    <col min="10521" max="10521" width="11.85546875" customWidth="1"/>
    <col min="10522" max="10522" width="15.7109375" customWidth="1"/>
    <col min="10523" max="10523" width="1.5703125" customWidth="1"/>
    <col min="10524" max="10524" width="10.5703125" customWidth="1"/>
    <col min="10525" max="10525" width="20.7109375" customWidth="1"/>
    <col min="10526" max="10526" width="2" customWidth="1"/>
    <col min="10527" max="10527" width="10.140625" customWidth="1"/>
    <col min="10528" max="10528" width="13.7109375" customWidth="1"/>
    <col min="10529" max="10529" width="16.5703125" customWidth="1"/>
    <col min="10530" max="10530" width="16" customWidth="1"/>
    <col min="10531" max="10740" width="9.42578125" customWidth="1"/>
    <col min="10741" max="10741" width="7.140625" customWidth="1"/>
    <col min="10742" max="10742" width="35.28515625" customWidth="1"/>
    <col min="10743" max="10743" width="6.7109375" customWidth="1"/>
    <col min="10744" max="10744" width="5.7109375" customWidth="1"/>
    <col min="10745" max="10745" width="5.85546875" customWidth="1"/>
    <col min="10746" max="10746" width="7.85546875" customWidth="1"/>
    <col min="10753" max="10753" width="7.140625" customWidth="1"/>
    <col min="10754" max="10754" width="39.42578125" customWidth="1"/>
    <col min="10755" max="10755" width="6.7109375" customWidth="1"/>
    <col min="10756" max="10756" width="5.7109375" customWidth="1"/>
    <col min="10757" max="10757" width="5.85546875" customWidth="1"/>
    <col min="10758" max="10758" width="7.85546875" customWidth="1"/>
    <col min="10759" max="10759" width="14.28515625" customWidth="1"/>
    <col min="10760" max="10760" width="14" customWidth="1"/>
    <col min="10761" max="10775" width="0" hidden="1" customWidth="1"/>
    <col min="10776" max="10776" width="11.5703125" customWidth="1"/>
    <col min="10777" max="10777" width="11.85546875" customWidth="1"/>
    <col min="10778" max="10778" width="15.7109375" customWidth="1"/>
    <col min="10779" max="10779" width="1.5703125" customWidth="1"/>
    <col min="10780" max="10780" width="10.5703125" customWidth="1"/>
    <col min="10781" max="10781" width="20.7109375" customWidth="1"/>
    <col min="10782" max="10782" width="2" customWidth="1"/>
    <col min="10783" max="10783" width="10.140625" customWidth="1"/>
    <col min="10784" max="10784" width="13.7109375" customWidth="1"/>
    <col min="10785" max="10785" width="16.5703125" customWidth="1"/>
    <col min="10786" max="10786" width="16" customWidth="1"/>
    <col min="10787" max="10996" width="9.42578125" customWidth="1"/>
    <col min="10997" max="10997" width="7.140625" customWidth="1"/>
    <col min="10998" max="10998" width="35.28515625" customWidth="1"/>
    <col min="10999" max="10999" width="6.7109375" customWidth="1"/>
    <col min="11000" max="11000" width="5.7109375" customWidth="1"/>
    <col min="11001" max="11001" width="5.85546875" customWidth="1"/>
    <col min="11002" max="11002" width="7.85546875" customWidth="1"/>
    <col min="11009" max="11009" width="7.140625" customWidth="1"/>
    <col min="11010" max="11010" width="39.42578125" customWidth="1"/>
    <col min="11011" max="11011" width="6.7109375" customWidth="1"/>
    <col min="11012" max="11012" width="5.7109375" customWidth="1"/>
    <col min="11013" max="11013" width="5.85546875" customWidth="1"/>
    <col min="11014" max="11014" width="7.85546875" customWidth="1"/>
    <col min="11015" max="11015" width="14.28515625" customWidth="1"/>
    <col min="11016" max="11016" width="14" customWidth="1"/>
    <col min="11017" max="11031" width="0" hidden="1" customWidth="1"/>
    <col min="11032" max="11032" width="11.5703125" customWidth="1"/>
    <col min="11033" max="11033" width="11.85546875" customWidth="1"/>
    <col min="11034" max="11034" width="15.7109375" customWidth="1"/>
    <col min="11035" max="11035" width="1.5703125" customWidth="1"/>
    <col min="11036" max="11036" width="10.5703125" customWidth="1"/>
    <col min="11037" max="11037" width="20.7109375" customWidth="1"/>
    <col min="11038" max="11038" width="2" customWidth="1"/>
    <col min="11039" max="11039" width="10.140625" customWidth="1"/>
    <col min="11040" max="11040" width="13.7109375" customWidth="1"/>
    <col min="11041" max="11041" width="16.5703125" customWidth="1"/>
    <col min="11042" max="11042" width="16" customWidth="1"/>
    <col min="11043" max="11252" width="9.42578125" customWidth="1"/>
    <col min="11253" max="11253" width="7.140625" customWidth="1"/>
    <col min="11254" max="11254" width="35.28515625" customWidth="1"/>
    <col min="11255" max="11255" width="6.7109375" customWidth="1"/>
    <col min="11256" max="11256" width="5.7109375" customWidth="1"/>
    <col min="11257" max="11257" width="5.85546875" customWidth="1"/>
    <col min="11258" max="11258" width="7.85546875" customWidth="1"/>
    <col min="11265" max="11265" width="7.140625" customWidth="1"/>
    <col min="11266" max="11266" width="39.42578125" customWidth="1"/>
    <col min="11267" max="11267" width="6.7109375" customWidth="1"/>
    <col min="11268" max="11268" width="5.7109375" customWidth="1"/>
    <col min="11269" max="11269" width="5.85546875" customWidth="1"/>
    <col min="11270" max="11270" width="7.85546875" customWidth="1"/>
    <col min="11271" max="11271" width="14.28515625" customWidth="1"/>
    <col min="11272" max="11272" width="14" customWidth="1"/>
    <col min="11273" max="11287" width="0" hidden="1" customWidth="1"/>
    <col min="11288" max="11288" width="11.5703125" customWidth="1"/>
    <col min="11289" max="11289" width="11.85546875" customWidth="1"/>
    <col min="11290" max="11290" width="15.7109375" customWidth="1"/>
    <col min="11291" max="11291" width="1.5703125" customWidth="1"/>
    <col min="11292" max="11292" width="10.5703125" customWidth="1"/>
    <col min="11293" max="11293" width="20.7109375" customWidth="1"/>
    <col min="11294" max="11294" width="2" customWidth="1"/>
    <col min="11295" max="11295" width="10.140625" customWidth="1"/>
    <col min="11296" max="11296" width="13.7109375" customWidth="1"/>
    <col min="11297" max="11297" width="16.5703125" customWidth="1"/>
    <col min="11298" max="11298" width="16" customWidth="1"/>
    <col min="11299" max="11508" width="9.42578125" customWidth="1"/>
    <col min="11509" max="11509" width="7.140625" customWidth="1"/>
    <col min="11510" max="11510" width="35.28515625" customWidth="1"/>
    <col min="11511" max="11511" width="6.7109375" customWidth="1"/>
    <col min="11512" max="11512" width="5.7109375" customWidth="1"/>
    <col min="11513" max="11513" width="5.85546875" customWidth="1"/>
    <col min="11514" max="11514" width="7.85546875" customWidth="1"/>
    <col min="11521" max="11521" width="7.140625" customWidth="1"/>
    <col min="11522" max="11522" width="39.42578125" customWidth="1"/>
    <col min="11523" max="11523" width="6.7109375" customWidth="1"/>
    <col min="11524" max="11524" width="5.7109375" customWidth="1"/>
    <col min="11525" max="11525" width="5.85546875" customWidth="1"/>
    <col min="11526" max="11526" width="7.85546875" customWidth="1"/>
    <col min="11527" max="11527" width="14.28515625" customWidth="1"/>
    <col min="11528" max="11528" width="14" customWidth="1"/>
    <col min="11529" max="11543" width="0" hidden="1" customWidth="1"/>
    <col min="11544" max="11544" width="11.5703125" customWidth="1"/>
    <col min="11545" max="11545" width="11.85546875" customWidth="1"/>
    <col min="11546" max="11546" width="15.7109375" customWidth="1"/>
    <col min="11547" max="11547" width="1.5703125" customWidth="1"/>
    <col min="11548" max="11548" width="10.5703125" customWidth="1"/>
    <col min="11549" max="11549" width="20.7109375" customWidth="1"/>
    <col min="11550" max="11550" width="2" customWidth="1"/>
    <col min="11551" max="11551" width="10.140625" customWidth="1"/>
    <col min="11552" max="11552" width="13.7109375" customWidth="1"/>
    <col min="11553" max="11553" width="16.5703125" customWidth="1"/>
    <col min="11554" max="11554" width="16" customWidth="1"/>
    <col min="11555" max="11764" width="9.42578125" customWidth="1"/>
    <col min="11765" max="11765" width="7.140625" customWidth="1"/>
    <col min="11766" max="11766" width="35.28515625" customWidth="1"/>
    <col min="11767" max="11767" width="6.7109375" customWidth="1"/>
    <col min="11768" max="11768" width="5.7109375" customWidth="1"/>
    <col min="11769" max="11769" width="5.85546875" customWidth="1"/>
    <col min="11770" max="11770" width="7.85546875" customWidth="1"/>
    <col min="11777" max="11777" width="7.140625" customWidth="1"/>
    <col min="11778" max="11778" width="39.42578125" customWidth="1"/>
    <col min="11779" max="11779" width="6.7109375" customWidth="1"/>
    <col min="11780" max="11780" width="5.7109375" customWidth="1"/>
    <col min="11781" max="11781" width="5.85546875" customWidth="1"/>
    <col min="11782" max="11782" width="7.85546875" customWidth="1"/>
    <col min="11783" max="11783" width="14.28515625" customWidth="1"/>
    <col min="11784" max="11784" width="14" customWidth="1"/>
    <col min="11785" max="11799" width="0" hidden="1" customWidth="1"/>
    <col min="11800" max="11800" width="11.5703125" customWidth="1"/>
    <col min="11801" max="11801" width="11.85546875" customWidth="1"/>
    <col min="11802" max="11802" width="15.7109375" customWidth="1"/>
    <col min="11803" max="11803" width="1.5703125" customWidth="1"/>
    <col min="11804" max="11804" width="10.5703125" customWidth="1"/>
    <col min="11805" max="11805" width="20.7109375" customWidth="1"/>
    <col min="11806" max="11806" width="2" customWidth="1"/>
    <col min="11807" max="11807" width="10.140625" customWidth="1"/>
    <col min="11808" max="11808" width="13.7109375" customWidth="1"/>
    <col min="11809" max="11809" width="16.5703125" customWidth="1"/>
    <col min="11810" max="11810" width="16" customWidth="1"/>
    <col min="11811" max="12020" width="9.42578125" customWidth="1"/>
    <col min="12021" max="12021" width="7.140625" customWidth="1"/>
    <col min="12022" max="12022" width="35.28515625" customWidth="1"/>
    <col min="12023" max="12023" width="6.7109375" customWidth="1"/>
    <col min="12024" max="12024" width="5.7109375" customWidth="1"/>
    <col min="12025" max="12025" width="5.85546875" customWidth="1"/>
    <col min="12026" max="12026" width="7.85546875" customWidth="1"/>
    <col min="12033" max="12033" width="7.140625" customWidth="1"/>
    <col min="12034" max="12034" width="39.42578125" customWidth="1"/>
    <col min="12035" max="12035" width="6.7109375" customWidth="1"/>
    <col min="12036" max="12036" width="5.7109375" customWidth="1"/>
    <col min="12037" max="12037" width="5.85546875" customWidth="1"/>
    <col min="12038" max="12038" width="7.85546875" customWidth="1"/>
    <col min="12039" max="12039" width="14.28515625" customWidth="1"/>
    <col min="12040" max="12040" width="14" customWidth="1"/>
    <col min="12041" max="12055" width="0" hidden="1" customWidth="1"/>
    <col min="12056" max="12056" width="11.5703125" customWidth="1"/>
    <col min="12057" max="12057" width="11.85546875" customWidth="1"/>
    <col min="12058" max="12058" width="15.7109375" customWidth="1"/>
    <col min="12059" max="12059" width="1.5703125" customWidth="1"/>
    <col min="12060" max="12060" width="10.5703125" customWidth="1"/>
    <col min="12061" max="12061" width="20.7109375" customWidth="1"/>
    <col min="12062" max="12062" width="2" customWidth="1"/>
    <col min="12063" max="12063" width="10.140625" customWidth="1"/>
    <col min="12064" max="12064" width="13.7109375" customWidth="1"/>
    <col min="12065" max="12065" width="16.5703125" customWidth="1"/>
    <col min="12066" max="12066" width="16" customWidth="1"/>
    <col min="12067" max="12276" width="9.42578125" customWidth="1"/>
    <col min="12277" max="12277" width="7.140625" customWidth="1"/>
    <col min="12278" max="12278" width="35.28515625" customWidth="1"/>
    <col min="12279" max="12279" width="6.7109375" customWidth="1"/>
    <col min="12280" max="12280" width="5.7109375" customWidth="1"/>
    <col min="12281" max="12281" width="5.85546875" customWidth="1"/>
    <col min="12282" max="12282" width="7.85546875" customWidth="1"/>
    <col min="12289" max="12289" width="7.140625" customWidth="1"/>
    <col min="12290" max="12290" width="39.42578125" customWidth="1"/>
    <col min="12291" max="12291" width="6.7109375" customWidth="1"/>
    <col min="12292" max="12292" width="5.7109375" customWidth="1"/>
    <col min="12293" max="12293" width="5.85546875" customWidth="1"/>
    <col min="12294" max="12294" width="7.85546875" customWidth="1"/>
    <col min="12295" max="12295" width="14.28515625" customWidth="1"/>
    <col min="12296" max="12296" width="14" customWidth="1"/>
    <col min="12297" max="12311" width="0" hidden="1" customWidth="1"/>
    <col min="12312" max="12312" width="11.5703125" customWidth="1"/>
    <col min="12313" max="12313" width="11.85546875" customWidth="1"/>
    <col min="12314" max="12314" width="15.7109375" customWidth="1"/>
    <col min="12315" max="12315" width="1.5703125" customWidth="1"/>
    <col min="12316" max="12316" width="10.5703125" customWidth="1"/>
    <col min="12317" max="12317" width="20.7109375" customWidth="1"/>
    <col min="12318" max="12318" width="2" customWidth="1"/>
    <col min="12319" max="12319" width="10.140625" customWidth="1"/>
    <col min="12320" max="12320" width="13.7109375" customWidth="1"/>
    <col min="12321" max="12321" width="16.5703125" customWidth="1"/>
    <col min="12322" max="12322" width="16" customWidth="1"/>
    <col min="12323" max="12532" width="9.42578125" customWidth="1"/>
    <col min="12533" max="12533" width="7.140625" customWidth="1"/>
    <col min="12534" max="12534" width="35.28515625" customWidth="1"/>
    <col min="12535" max="12535" width="6.7109375" customWidth="1"/>
    <col min="12536" max="12536" width="5.7109375" customWidth="1"/>
    <col min="12537" max="12537" width="5.85546875" customWidth="1"/>
    <col min="12538" max="12538" width="7.85546875" customWidth="1"/>
    <col min="12545" max="12545" width="7.140625" customWidth="1"/>
    <col min="12546" max="12546" width="39.42578125" customWidth="1"/>
    <col min="12547" max="12547" width="6.7109375" customWidth="1"/>
    <col min="12548" max="12548" width="5.7109375" customWidth="1"/>
    <col min="12549" max="12549" width="5.85546875" customWidth="1"/>
    <col min="12550" max="12550" width="7.85546875" customWidth="1"/>
    <col min="12551" max="12551" width="14.28515625" customWidth="1"/>
    <col min="12552" max="12552" width="14" customWidth="1"/>
    <col min="12553" max="12567" width="0" hidden="1" customWidth="1"/>
    <col min="12568" max="12568" width="11.5703125" customWidth="1"/>
    <col min="12569" max="12569" width="11.85546875" customWidth="1"/>
    <col min="12570" max="12570" width="15.7109375" customWidth="1"/>
    <col min="12571" max="12571" width="1.5703125" customWidth="1"/>
    <col min="12572" max="12572" width="10.5703125" customWidth="1"/>
    <col min="12573" max="12573" width="20.7109375" customWidth="1"/>
    <col min="12574" max="12574" width="2" customWidth="1"/>
    <col min="12575" max="12575" width="10.140625" customWidth="1"/>
    <col min="12576" max="12576" width="13.7109375" customWidth="1"/>
    <col min="12577" max="12577" width="16.5703125" customWidth="1"/>
    <col min="12578" max="12578" width="16" customWidth="1"/>
    <col min="12579" max="12788" width="9.42578125" customWidth="1"/>
    <col min="12789" max="12789" width="7.140625" customWidth="1"/>
    <col min="12790" max="12790" width="35.28515625" customWidth="1"/>
    <col min="12791" max="12791" width="6.7109375" customWidth="1"/>
    <col min="12792" max="12792" width="5.7109375" customWidth="1"/>
    <col min="12793" max="12793" width="5.85546875" customWidth="1"/>
    <col min="12794" max="12794" width="7.85546875" customWidth="1"/>
    <col min="12801" max="12801" width="7.140625" customWidth="1"/>
    <col min="12802" max="12802" width="39.42578125" customWidth="1"/>
    <col min="12803" max="12803" width="6.7109375" customWidth="1"/>
    <col min="12804" max="12804" width="5.7109375" customWidth="1"/>
    <col min="12805" max="12805" width="5.85546875" customWidth="1"/>
    <col min="12806" max="12806" width="7.85546875" customWidth="1"/>
    <col min="12807" max="12807" width="14.28515625" customWidth="1"/>
    <col min="12808" max="12808" width="14" customWidth="1"/>
    <col min="12809" max="12823" width="0" hidden="1" customWidth="1"/>
    <col min="12824" max="12824" width="11.5703125" customWidth="1"/>
    <col min="12825" max="12825" width="11.85546875" customWidth="1"/>
    <col min="12826" max="12826" width="15.7109375" customWidth="1"/>
    <col min="12827" max="12827" width="1.5703125" customWidth="1"/>
    <col min="12828" max="12828" width="10.5703125" customWidth="1"/>
    <col min="12829" max="12829" width="20.7109375" customWidth="1"/>
    <col min="12830" max="12830" width="2" customWidth="1"/>
    <col min="12831" max="12831" width="10.140625" customWidth="1"/>
    <col min="12832" max="12832" width="13.7109375" customWidth="1"/>
    <col min="12833" max="12833" width="16.5703125" customWidth="1"/>
    <col min="12834" max="12834" width="16" customWidth="1"/>
    <col min="12835" max="13044" width="9.42578125" customWidth="1"/>
    <col min="13045" max="13045" width="7.140625" customWidth="1"/>
    <col min="13046" max="13046" width="35.28515625" customWidth="1"/>
    <col min="13047" max="13047" width="6.7109375" customWidth="1"/>
    <col min="13048" max="13048" width="5.7109375" customWidth="1"/>
    <col min="13049" max="13049" width="5.85546875" customWidth="1"/>
    <col min="13050" max="13050" width="7.85546875" customWidth="1"/>
    <col min="13057" max="13057" width="7.140625" customWidth="1"/>
    <col min="13058" max="13058" width="39.42578125" customWidth="1"/>
    <col min="13059" max="13059" width="6.7109375" customWidth="1"/>
    <col min="13060" max="13060" width="5.7109375" customWidth="1"/>
    <col min="13061" max="13061" width="5.85546875" customWidth="1"/>
    <col min="13062" max="13062" width="7.85546875" customWidth="1"/>
    <col min="13063" max="13063" width="14.28515625" customWidth="1"/>
    <col min="13064" max="13064" width="14" customWidth="1"/>
    <col min="13065" max="13079" width="0" hidden="1" customWidth="1"/>
    <col min="13080" max="13080" width="11.5703125" customWidth="1"/>
    <col min="13081" max="13081" width="11.85546875" customWidth="1"/>
    <col min="13082" max="13082" width="15.7109375" customWidth="1"/>
    <col min="13083" max="13083" width="1.5703125" customWidth="1"/>
    <col min="13084" max="13084" width="10.5703125" customWidth="1"/>
    <col min="13085" max="13085" width="20.7109375" customWidth="1"/>
    <col min="13086" max="13086" width="2" customWidth="1"/>
    <col min="13087" max="13087" width="10.140625" customWidth="1"/>
    <col min="13088" max="13088" width="13.7109375" customWidth="1"/>
    <col min="13089" max="13089" width="16.5703125" customWidth="1"/>
    <col min="13090" max="13090" width="16" customWidth="1"/>
    <col min="13091" max="13300" width="9.42578125" customWidth="1"/>
    <col min="13301" max="13301" width="7.140625" customWidth="1"/>
    <col min="13302" max="13302" width="35.28515625" customWidth="1"/>
    <col min="13303" max="13303" width="6.7109375" customWidth="1"/>
    <col min="13304" max="13304" width="5.7109375" customWidth="1"/>
    <col min="13305" max="13305" width="5.85546875" customWidth="1"/>
    <col min="13306" max="13306" width="7.85546875" customWidth="1"/>
    <col min="13313" max="13313" width="7.140625" customWidth="1"/>
    <col min="13314" max="13314" width="39.42578125" customWidth="1"/>
    <col min="13315" max="13315" width="6.7109375" customWidth="1"/>
    <col min="13316" max="13316" width="5.7109375" customWidth="1"/>
    <col min="13317" max="13317" width="5.85546875" customWidth="1"/>
    <col min="13318" max="13318" width="7.85546875" customWidth="1"/>
    <col min="13319" max="13319" width="14.28515625" customWidth="1"/>
    <col min="13320" max="13320" width="14" customWidth="1"/>
    <col min="13321" max="13335" width="0" hidden="1" customWidth="1"/>
    <col min="13336" max="13336" width="11.5703125" customWidth="1"/>
    <col min="13337" max="13337" width="11.85546875" customWidth="1"/>
    <col min="13338" max="13338" width="15.7109375" customWidth="1"/>
    <col min="13339" max="13339" width="1.5703125" customWidth="1"/>
    <col min="13340" max="13340" width="10.5703125" customWidth="1"/>
    <col min="13341" max="13341" width="20.7109375" customWidth="1"/>
    <col min="13342" max="13342" width="2" customWidth="1"/>
    <col min="13343" max="13343" width="10.140625" customWidth="1"/>
    <col min="13344" max="13344" width="13.7109375" customWidth="1"/>
    <col min="13345" max="13345" width="16.5703125" customWidth="1"/>
    <col min="13346" max="13346" width="16" customWidth="1"/>
    <col min="13347" max="13556" width="9.42578125" customWidth="1"/>
    <col min="13557" max="13557" width="7.140625" customWidth="1"/>
    <col min="13558" max="13558" width="35.28515625" customWidth="1"/>
    <col min="13559" max="13559" width="6.7109375" customWidth="1"/>
    <col min="13560" max="13560" width="5.7109375" customWidth="1"/>
    <col min="13561" max="13561" width="5.85546875" customWidth="1"/>
    <col min="13562" max="13562" width="7.85546875" customWidth="1"/>
    <col min="13569" max="13569" width="7.140625" customWidth="1"/>
    <col min="13570" max="13570" width="39.42578125" customWidth="1"/>
    <col min="13571" max="13571" width="6.7109375" customWidth="1"/>
    <col min="13572" max="13572" width="5.7109375" customWidth="1"/>
    <col min="13573" max="13573" width="5.85546875" customWidth="1"/>
    <col min="13574" max="13574" width="7.85546875" customWidth="1"/>
    <col min="13575" max="13575" width="14.28515625" customWidth="1"/>
    <col min="13576" max="13576" width="14" customWidth="1"/>
    <col min="13577" max="13591" width="0" hidden="1" customWidth="1"/>
    <col min="13592" max="13592" width="11.5703125" customWidth="1"/>
    <col min="13593" max="13593" width="11.85546875" customWidth="1"/>
    <col min="13594" max="13594" width="15.7109375" customWidth="1"/>
    <col min="13595" max="13595" width="1.5703125" customWidth="1"/>
    <col min="13596" max="13596" width="10.5703125" customWidth="1"/>
    <col min="13597" max="13597" width="20.7109375" customWidth="1"/>
    <col min="13598" max="13598" width="2" customWidth="1"/>
    <col min="13599" max="13599" width="10.140625" customWidth="1"/>
    <col min="13600" max="13600" width="13.7109375" customWidth="1"/>
    <col min="13601" max="13601" width="16.5703125" customWidth="1"/>
    <col min="13602" max="13602" width="16" customWidth="1"/>
    <col min="13603" max="13812" width="9.42578125" customWidth="1"/>
    <col min="13813" max="13813" width="7.140625" customWidth="1"/>
    <col min="13814" max="13814" width="35.28515625" customWidth="1"/>
    <col min="13815" max="13815" width="6.7109375" customWidth="1"/>
    <col min="13816" max="13816" width="5.7109375" customWidth="1"/>
    <col min="13817" max="13817" width="5.85546875" customWidth="1"/>
    <col min="13818" max="13818" width="7.85546875" customWidth="1"/>
    <col min="13825" max="13825" width="7.140625" customWidth="1"/>
    <col min="13826" max="13826" width="39.42578125" customWidth="1"/>
    <col min="13827" max="13827" width="6.7109375" customWidth="1"/>
    <col min="13828" max="13828" width="5.7109375" customWidth="1"/>
    <col min="13829" max="13829" width="5.85546875" customWidth="1"/>
    <col min="13830" max="13830" width="7.85546875" customWidth="1"/>
    <col min="13831" max="13831" width="14.28515625" customWidth="1"/>
    <col min="13832" max="13832" width="14" customWidth="1"/>
    <col min="13833" max="13847" width="0" hidden="1" customWidth="1"/>
    <col min="13848" max="13848" width="11.5703125" customWidth="1"/>
    <col min="13849" max="13849" width="11.85546875" customWidth="1"/>
    <col min="13850" max="13850" width="15.7109375" customWidth="1"/>
    <col min="13851" max="13851" width="1.5703125" customWidth="1"/>
    <col min="13852" max="13852" width="10.5703125" customWidth="1"/>
    <col min="13853" max="13853" width="20.7109375" customWidth="1"/>
    <col min="13854" max="13854" width="2" customWidth="1"/>
    <col min="13855" max="13855" width="10.140625" customWidth="1"/>
    <col min="13856" max="13856" width="13.7109375" customWidth="1"/>
    <col min="13857" max="13857" width="16.5703125" customWidth="1"/>
    <col min="13858" max="13858" width="16" customWidth="1"/>
    <col min="13859" max="14068" width="9.42578125" customWidth="1"/>
    <col min="14069" max="14069" width="7.140625" customWidth="1"/>
    <col min="14070" max="14070" width="35.28515625" customWidth="1"/>
    <col min="14071" max="14071" width="6.7109375" customWidth="1"/>
    <col min="14072" max="14072" width="5.7109375" customWidth="1"/>
    <col min="14073" max="14073" width="5.85546875" customWidth="1"/>
    <col min="14074" max="14074" width="7.85546875" customWidth="1"/>
    <col min="14081" max="14081" width="7.140625" customWidth="1"/>
    <col min="14082" max="14082" width="39.42578125" customWidth="1"/>
    <col min="14083" max="14083" width="6.7109375" customWidth="1"/>
    <col min="14084" max="14084" width="5.7109375" customWidth="1"/>
    <col min="14085" max="14085" width="5.85546875" customWidth="1"/>
    <col min="14086" max="14086" width="7.85546875" customWidth="1"/>
    <col min="14087" max="14087" width="14.28515625" customWidth="1"/>
    <col min="14088" max="14088" width="14" customWidth="1"/>
    <col min="14089" max="14103" width="0" hidden="1" customWidth="1"/>
    <col min="14104" max="14104" width="11.5703125" customWidth="1"/>
    <col min="14105" max="14105" width="11.85546875" customWidth="1"/>
    <col min="14106" max="14106" width="15.7109375" customWidth="1"/>
    <col min="14107" max="14107" width="1.5703125" customWidth="1"/>
    <col min="14108" max="14108" width="10.5703125" customWidth="1"/>
    <col min="14109" max="14109" width="20.7109375" customWidth="1"/>
    <col min="14110" max="14110" width="2" customWidth="1"/>
    <col min="14111" max="14111" width="10.140625" customWidth="1"/>
    <col min="14112" max="14112" width="13.7109375" customWidth="1"/>
    <col min="14113" max="14113" width="16.5703125" customWidth="1"/>
    <col min="14114" max="14114" width="16" customWidth="1"/>
    <col min="14115" max="14324" width="9.42578125" customWidth="1"/>
    <col min="14325" max="14325" width="7.140625" customWidth="1"/>
    <col min="14326" max="14326" width="35.28515625" customWidth="1"/>
    <col min="14327" max="14327" width="6.7109375" customWidth="1"/>
    <col min="14328" max="14328" width="5.7109375" customWidth="1"/>
    <col min="14329" max="14329" width="5.85546875" customWidth="1"/>
    <col min="14330" max="14330" width="7.85546875" customWidth="1"/>
    <col min="14337" max="14337" width="7.140625" customWidth="1"/>
    <col min="14338" max="14338" width="39.42578125" customWidth="1"/>
    <col min="14339" max="14339" width="6.7109375" customWidth="1"/>
    <col min="14340" max="14340" width="5.7109375" customWidth="1"/>
    <col min="14341" max="14341" width="5.85546875" customWidth="1"/>
    <col min="14342" max="14342" width="7.85546875" customWidth="1"/>
    <col min="14343" max="14343" width="14.28515625" customWidth="1"/>
    <col min="14344" max="14344" width="14" customWidth="1"/>
    <col min="14345" max="14359" width="0" hidden="1" customWidth="1"/>
    <col min="14360" max="14360" width="11.5703125" customWidth="1"/>
    <col min="14361" max="14361" width="11.85546875" customWidth="1"/>
    <col min="14362" max="14362" width="15.7109375" customWidth="1"/>
    <col min="14363" max="14363" width="1.5703125" customWidth="1"/>
    <col min="14364" max="14364" width="10.5703125" customWidth="1"/>
    <col min="14365" max="14365" width="20.7109375" customWidth="1"/>
    <col min="14366" max="14366" width="2" customWidth="1"/>
    <col min="14367" max="14367" width="10.140625" customWidth="1"/>
    <col min="14368" max="14368" width="13.7109375" customWidth="1"/>
    <col min="14369" max="14369" width="16.5703125" customWidth="1"/>
    <col min="14370" max="14370" width="16" customWidth="1"/>
    <col min="14371" max="14580" width="9.42578125" customWidth="1"/>
    <col min="14581" max="14581" width="7.140625" customWidth="1"/>
    <col min="14582" max="14582" width="35.28515625" customWidth="1"/>
    <col min="14583" max="14583" width="6.7109375" customWidth="1"/>
    <col min="14584" max="14584" width="5.7109375" customWidth="1"/>
    <col min="14585" max="14585" width="5.85546875" customWidth="1"/>
    <col min="14586" max="14586" width="7.85546875" customWidth="1"/>
    <col min="14593" max="14593" width="7.140625" customWidth="1"/>
    <col min="14594" max="14594" width="39.42578125" customWidth="1"/>
    <col min="14595" max="14595" width="6.7109375" customWidth="1"/>
    <col min="14596" max="14596" width="5.7109375" customWidth="1"/>
    <col min="14597" max="14597" width="5.85546875" customWidth="1"/>
    <col min="14598" max="14598" width="7.85546875" customWidth="1"/>
    <col min="14599" max="14599" width="14.28515625" customWidth="1"/>
    <col min="14600" max="14600" width="14" customWidth="1"/>
    <col min="14601" max="14615" width="0" hidden="1" customWidth="1"/>
    <col min="14616" max="14616" width="11.5703125" customWidth="1"/>
    <col min="14617" max="14617" width="11.85546875" customWidth="1"/>
    <col min="14618" max="14618" width="15.7109375" customWidth="1"/>
    <col min="14619" max="14619" width="1.5703125" customWidth="1"/>
    <col min="14620" max="14620" width="10.5703125" customWidth="1"/>
    <col min="14621" max="14621" width="20.7109375" customWidth="1"/>
    <col min="14622" max="14622" width="2" customWidth="1"/>
    <col min="14623" max="14623" width="10.140625" customWidth="1"/>
    <col min="14624" max="14624" width="13.7109375" customWidth="1"/>
    <col min="14625" max="14625" width="16.5703125" customWidth="1"/>
    <col min="14626" max="14626" width="16" customWidth="1"/>
    <col min="14627" max="14836" width="9.42578125" customWidth="1"/>
    <col min="14837" max="14837" width="7.140625" customWidth="1"/>
    <col min="14838" max="14838" width="35.28515625" customWidth="1"/>
    <col min="14839" max="14839" width="6.7109375" customWidth="1"/>
    <col min="14840" max="14840" width="5.7109375" customWidth="1"/>
    <col min="14841" max="14841" width="5.85546875" customWidth="1"/>
    <col min="14842" max="14842" width="7.85546875" customWidth="1"/>
    <col min="14849" max="14849" width="7.140625" customWidth="1"/>
    <col min="14850" max="14850" width="39.42578125" customWidth="1"/>
    <col min="14851" max="14851" width="6.7109375" customWidth="1"/>
    <col min="14852" max="14852" width="5.7109375" customWidth="1"/>
    <col min="14853" max="14853" width="5.85546875" customWidth="1"/>
    <col min="14854" max="14854" width="7.85546875" customWidth="1"/>
    <col min="14855" max="14855" width="14.28515625" customWidth="1"/>
    <col min="14856" max="14856" width="14" customWidth="1"/>
    <col min="14857" max="14871" width="0" hidden="1" customWidth="1"/>
    <col min="14872" max="14872" width="11.5703125" customWidth="1"/>
    <col min="14873" max="14873" width="11.85546875" customWidth="1"/>
    <col min="14874" max="14874" width="15.7109375" customWidth="1"/>
    <col min="14875" max="14875" width="1.5703125" customWidth="1"/>
    <col min="14876" max="14876" width="10.5703125" customWidth="1"/>
    <col min="14877" max="14877" width="20.7109375" customWidth="1"/>
    <col min="14878" max="14878" width="2" customWidth="1"/>
    <col min="14879" max="14879" width="10.140625" customWidth="1"/>
    <col min="14880" max="14880" width="13.7109375" customWidth="1"/>
    <col min="14881" max="14881" width="16.5703125" customWidth="1"/>
    <col min="14882" max="14882" width="16" customWidth="1"/>
    <col min="14883" max="15092" width="9.42578125" customWidth="1"/>
    <col min="15093" max="15093" width="7.140625" customWidth="1"/>
    <col min="15094" max="15094" width="35.28515625" customWidth="1"/>
    <col min="15095" max="15095" width="6.7109375" customWidth="1"/>
    <col min="15096" max="15096" width="5.7109375" customWidth="1"/>
    <col min="15097" max="15097" width="5.85546875" customWidth="1"/>
    <col min="15098" max="15098" width="7.85546875" customWidth="1"/>
    <col min="15105" max="15105" width="7.140625" customWidth="1"/>
    <col min="15106" max="15106" width="39.42578125" customWidth="1"/>
    <col min="15107" max="15107" width="6.7109375" customWidth="1"/>
    <col min="15108" max="15108" width="5.7109375" customWidth="1"/>
    <col min="15109" max="15109" width="5.85546875" customWidth="1"/>
    <col min="15110" max="15110" width="7.85546875" customWidth="1"/>
    <col min="15111" max="15111" width="14.28515625" customWidth="1"/>
    <col min="15112" max="15112" width="14" customWidth="1"/>
    <col min="15113" max="15127" width="0" hidden="1" customWidth="1"/>
    <col min="15128" max="15128" width="11.5703125" customWidth="1"/>
    <col min="15129" max="15129" width="11.85546875" customWidth="1"/>
    <col min="15130" max="15130" width="15.7109375" customWidth="1"/>
    <col min="15131" max="15131" width="1.5703125" customWidth="1"/>
    <col min="15132" max="15132" width="10.5703125" customWidth="1"/>
    <col min="15133" max="15133" width="20.7109375" customWidth="1"/>
    <col min="15134" max="15134" width="2" customWidth="1"/>
    <col min="15135" max="15135" width="10.140625" customWidth="1"/>
    <col min="15136" max="15136" width="13.7109375" customWidth="1"/>
    <col min="15137" max="15137" width="16.5703125" customWidth="1"/>
    <col min="15138" max="15138" width="16" customWidth="1"/>
    <col min="15139" max="15348" width="9.42578125" customWidth="1"/>
    <col min="15349" max="15349" width="7.140625" customWidth="1"/>
    <col min="15350" max="15350" width="35.28515625" customWidth="1"/>
    <col min="15351" max="15351" width="6.7109375" customWidth="1"/>
    <col min="15352" max="15352" width="5.7109375" customWidth="1"/>
    <col min="15353" max="15353" width="5.85546875" customWidth="1"/>
    <col min="15354" max="15354" width="7.85546875" customWidth="1"/>
    <col min="15361" max="15361" width="7.140625" customWidth="1"/>
    <col min="15362" max="15362" width="39.42578125" customWidth="1"/>
    <col min="15363" max="15363" width="6.7109375" customWidth="1"/>
    <col min="15364" max="15364" width="5.7109375" customWidth="1"/>
    <col min="15365" max="15365" width="5.85546875" customWidth="1"/>
    <col min="15366" max="15366" width="7.85546875" customWidth="1"/>
    <col min="15367" max="15367" width="14.28515625" customWidth="1"/>
    <col min="15368" max="15368" width="14" customWidth="1"/>
    <col min="15369" max="15383" width="0" hidden="1" customWidth="1"/>
    <col min="15384" max="15384" width="11.5703125" customWidth="1"/>
    <col min="15385" max="15385" width="11.85546875" customWidth="1"/>
    <col min="15386" max="15386" width="15.7109375" customWidth="1"/>
    <col min="15387" max="15387" width="1.5703125" customWidth="1"/>
    <col min="15388" max="15388" width="10.5703125" customWidth="1"/>
    <col min="15389" max="15389" width="20.7109375" customWidth="1"/>
    <col min="15390" max="15390" width="2" customWidth="1"/>
    <col min="15391" max="15391" width="10.140625" customWidth="1"/>
    <col min="15392" max="15392" width="13.7109375" customWidth="1"/>
    <col min="15393" max="15393" width="16.5703125" customWidth="1"/>
    <col min="15394" max="15394" width="16" customWidth="1"/>
    <col min="15395" max="15604" width="9.42578125" customWidth="1"/>
    <col min="15605" max="15605" width="7.140625" customWidth="1"/>
    <col min="15606" max="15606" width="35.28515625" customWidth="1"/>
    <col min="15607" max="15607" width="6.7109375" customWidth="1"/>
    <col min="15608" max="15608" width="5.7109375" customWidth="1"/>
    <col min="15609" max="15609" width="5.85546875" customWidth="1"/>
    <col min="15610" max="15610" width="7.85546875" customWidth="1"/>
    <col min="15617" max="15617" width="7.140625" customWidth="1"/>
    <col min="15618" max="15618" width="39.42578125" customWidth="1"/>
    <col min="15619" max="15619" width="6.7109375" customWidth="1"/>
    <col min="15620" max="15620" width="5.7109375" customWidth="1"/>
    <col min="15621" max="15621" width="5.85546875" customWidth="1"/>
    <col min="15622" max="15622" width="7.85546875" customWidth="1"/>
    <col min="15623" max="15623" width="14.28515625" customWidth="1"/>
    <col min="15624" max="15624" width="14" customWidth="1"/>
    <col min="15625" max="15639" width="0" hidden="1" customWidth="1"/>
    <col min="15640" max="15640" width="11.5703125" customWidth="1"/>
    <col min="15641" max="15641" width="11.85546875" customWidth="1"/>
    <col min="15642" max="15642" width="15.7109375" customWidth="1"/>
    <col min="15643" max="15643" width="1.5703125" customWidth="1"/>
    <col min="15644" max="15644" width="10.5703125" customWidth="1"/>
    <col min="15645" max="15645" width="20.7109375" customWidth="1"/>
    <col min="15646" max="15646" width="2" customWidth="1"/>
    <col min="15647" max="15647" width="10.140625" customWidth="1"/>
    <col min="15648" max="15648" width="13.7109375" customWidth="1"/>
    <col min="15649" max="15649" width="16.5703125" customWidth="1"/>
    <col min="15650" max="15650" width="16" customWidth="1"/>
    <col min="15651" max="15860" width="9.42578125" customWidth="1"/>
    <col min="15861" max="15861" width="7.140625" customWidth="1"/>
    <col min="15862" max="15862" width="35.28515625" customWidth="1"/>
    <col min="15863" max="15863" width="6.7109375" customWidth="1"/>
    <col min="15864" max="15864" width="5.7109375" customWidth="1"/>
    <col min="15865" max="15865" width="5.85546875" customWidth="1"/>
    <col min="15866" max="15866" width="7.85546875" customWidth="1"/>
    <col min="15873" max="15873" width="7.140625" customWidth="1"/>
    <col min="15874" max="15874" width="39.42578125" customWidth="1"/>
    <col min="15875" max="15875" width="6.7109375" customWidth="1"/>
    <col min="15876" max="15876" width="5.7109375" customWidth="1"/>
    <col min="15877" max="15877" width="5.85546875" customWidth="1"/>
    <col min="15878" max="15878" width="7.85546875" customWidth="1"/>
    <col min="15879" max="15879" width="14.28515625" customWidth="1"/>
    <col min="15880" max="15880" width="14" customWidth="1"/>
    <col min="15881" max="15895" width="0" hidden="1" customWidth="1"/>
    <col min="15896" max="15896" width="11.5703125" customWidth="1"/>
    <col min="15897" max="15897" width="11.85546875" customWidth="1"/>
    <col min="15898" max="15898" width="15.7109375" customWidth="1"/>
    <col min="15899" max="15899" width="1.5703125" customWidth="1"/>
    <col min="15900" max="15900" width="10.5703125" customWidth="1"/>
    <col min="15901" max="15901" width="20.7109375" customWidth="1"/>
    <col min="15902" max="15902" width="2" customWidth="1"/>
    <col min="15903" max="15903" width="10.140625" customWidth="1"/>
    <col min="15904" max="15904" width="13.7109375" customWidth="1"/>
    <col min="15905" max="15905" width="16.5703125" customWidth="1"/>
    <col min="15906" max="15906" width="16" customWidth="1"/>
    <col min="15907" max="16116" width="9.42578125" customWidth="1"/>
    <col min="16117" max="16117" width="7.140625" customWidth="1"/>
    <col min="16118" max="16118" width="35.28515625" customWidth="1"/>
    <col min="16119" max="16119" width="6.7109375" customWidth="1"/>
    <col min="16120" max="16120" width="5.7109375" customWidth="1"/>
    <col min="16121" max="16121" width="5.85546875" customWidth="1"/>
    <col min="16122" max="16122" width="7.85546875" customWidth="1"/>
    <col min="16129" max="16129" width="7.140625" customWidth="1"/>
    <col min="16130" max="16130" width="39.42578125" customWidth="1"/>
    <col min="16131" max="16131" width="6.7109375" customWidth="1"/>
    <col min="16132" max="16132" width="5.7109375" customWidth="1"/>
    <col min="16133" max="16133" width="5.85546875" customWidth="1"/>
    <col min="16134" max="16134" width="7.85546875" customWidth="1"/>
    <col min="16135" max="16135" width="14.28515625" customWidth="1"/>
    <col min="16136" max="16136" width="14" customWidth="1"/>
    <col min="16137" max="16151" width="0" hidden="1" customWidth="1"/>
    <col min="16152" max="16152" width="11.5703125" customWidth="1"/>
    <col min="16153" max="16153" width="11.85546875" customWidth="1"/>
    <col min="16154" max="16154" width="15.7109375" customWidth="1"/>
    <col min="16155" max="16155" width="1.5703125" customWidth="1"/>
    <col min="16156" max="16156" width="10.5703125" customWidth="1"/>
    <col min="16157" max="16157" width="20.7109375" customWidth="1"/>
    <col min="16158" max="16158" width="2" customWidth="1"/>
    <col min="16159" max="16159" width="10.140625" customWidth="1"/>
    <col min="16160" max="16160" width="13.7109375" customWidth="1"/>
    <col min="16161" max="16161" width="16.5703125" customWidth="1"/>
    <col min="16162" max="16162" width="16" customWidth="1"/>
    <col min="16163" max="16372" width="9.42578125" customWidth="1"/>
    <col min="16373" max="16373" width="7.140625" customWidth="1"/>
    <col min="16374" max="16374" width="35.28515625" customWidth="1"/>
    <col min="16375" max="16375" width="6.7109375" customWidth="1"/>
    <col min="16376" max="16376" width="5.7109375" customWidth="1"/>
    <col min="16377" max="16377" width="5.85546875" customWidth="1"/>
    <col min="16378" max="16378" width="7.85546875" customWidth="1"/>
  </cols>
  <sheetData>
    <row r="2" spans="1:29" ht="15.75" x14ac:dyDescent="0.25">
      <c r="A2" s="1" t="s">
        <v>91</v>
      </c>
      <c r="B2" s="1"/>
      <c r="C2" s="2"/>
      <c r="D2" s="2"/>
      <c r="E2" s="2"/>
      <c r="F2" s="2"/>
      <c r="G2" s="3"/>
    </row>
    <row r="3" spans="1:29" ht="15.75" x14ac:dyDescent="0.25">
      <c r="A3" s="5" t="s">
        <v>92</v>
      </c>
      <c r="B3" s="5"/>
      <c r="C3" s="5"/>
      <c r="D3" s="2"/>
      <c r="E3" s="2"/>
      <c r="F3" s="2"/>
      <c r="G3" s="2"/>
      <c r="K3" s="6"/>
      <c r="Q3" s="6"/>
      <c r="T3" s="6"/>
      <c r="AB3" s="7"/>
      <c r="AC3" s="7"/>
    </row>
    <row r="4" spans="1:29" ht="15.75" thickBot="1" x14ac:dyDescent="0.3">
      <c r="AB4" s="7"/>
      <c r="AC4" s="7"/>
    </row>
    <row r="5" spans="1:29" ht="19.5" thickBot="1" x14ac:dyDescent="0.3">
      <c r="A5" s="8" t="s">
        <v>0</v>
      </c>
      <c r="B5" s="8" t="s">
        <v>1</v>
      </c>
      <c r="C5" s="328" t="s">
        <v>2</v>
      </c>
      <c r="D5" s="328"/>
      <c r="E5" s="328"/>
      <c r="F5" s="335" t="s">
        <v>93</v>
      </c>
      <c r="G5" s="335"/>
      <c r="H5" s="335"/>
      <c r="I5" s="9"/>
      <c r="J5" s="334" t="s">
        <v>87</v>
      </c>
      <c r="K5" s="334"/>
      <c r="L5" s="9"/>
      <c r="M5" s="329" t="s">
        <v>5</v>
      </c>
      <c r="N5" s="329"/>
    </row>
    <row r="6" spans="1:29" ht="45.75" thickBot="1" x14ac:dyDescent="0.3">
      <c r="A6" s="10"/>
      <c r="B6" s="10"/>
      <c r="C6" s="11" t="s">
        <v>6</v>
      </c>
      <c r="D6" s="12" t="s">
        <v>7</v>
      </c>
      <c r="E6" s="249" t="s">
        <v>8</v>
      </c>
      <c r="F6" s="16" t="s">
        <v>9</v>
      </c>
      <c r="G6" s="17" t="s">
        <v>10</v>
      </c>
      <c r="H6" s="15" t="s">
        <v>11</v>
      </c>
      <c r="I6" s="18"/>
      <c r="J6" s="19" t="s">
        <v>10</v>
      </c>
      <c r="K6" s="15" t="s">
        <v>11</v>
      </c>
      <c r="L6" s="20"/>
      <c r="M6" s="21" t="s">
        <v>12</v>
      </c>
      <c r="N6" s="15" t="s">
        <v>13</v>
      </c>
    </row>
    <row r="7" spans="1:29" x14ac:dyDescent="0.25">
      <c r="A7" s="22"/>
      <c r="B7" s="23"/>
      <c r="C7" s="24"/>
      <c r="D7" s="25"/>
      <c r="E7" s="26"/>
      <c r="F7" s="24"/>
      <c r="G7" s="29"/>
      <c r="H7" s="30"/>
      <c r="J7" s="24"/>
      <c r="K7" s="31"/>
      <c r="L7"/>
      <c r="M7" s="23"/>
      <c r="N7" s="30"/>
    </row>
    <row r="8" spans="1:29" x14ac:dyDescent="0.25">
      <c r="A8" s="32">
        <v>1</v>
      </c>
      <c r="B8" s="33" t="s">
        <v>14</v>
      </c>
      <c r="C8" s="34">
        <v>2</v>
      </c>
      <c r="D8" s="35">
        <v>1</v>
      </c>
      <c r="E8" s="36">
        <f t="shared" ref="E8:E27" si="0">C8+D8</f>
        <v>3</v>
      </c>
      <c r="F8" s="34"/>
      <c r="G8" s="35"/>
      <c r="H8" s="39"/>
      <c r="J8" s="40"/>
      <c r="K8" s="41"/>
      <c r="L8"/>
      <c r="M8" s="42" t="e">
        <f t="shared" ref="M8:N14" si="1">G8/J8</f>
        <v>#DIV/0!</v>
      </c>
      <c r="N8" s="43" t="e">
        <f t="shared" si="1"/>
        <v>#DIV/0!</v>
      </c>
    </row>
    <row r="9" spans="1:29" x14ac:dyDescent="0.25">
      <c r="A9" s="32">
        <f>A8+1</f>
        <v>2</v>
      </c>
      <c r="B9" s="33" t="s">
        <v>15</v>
      </c>
      <c r="C9" s="34">
        <v>6</v>
      </c>
      <c r="D9" s="35"/>
      <c r="E9" s="36">
        <f t="shared" si="0"/>
        <v>6</v>
      </c>
      <c r="F9" s="34">
        <v>4</v>
      </c>
      <c r="G9" s="35">
        <v>39.5</v>
      </c>
      <c r="H9" s="39">
        <v>1988412.5</v>
      </c>
      <c r="J9" s="40"/>
      <c r="K9" s="41"/>
      <c r="L9"/>
      <c r="M9" s="42" t="e">
        <f t="shared" si="1"/>
        <v>#DIV/0!</v>
      </c>
      <c r="N9" s="43" t="e">
        <f t="shared" si="1"/>
        <v>#DIV/0!</v>
      </c>
    </row>
    <row r="10" spans="1:29" x14ac:dyDescent="0.25">
      <c r="A10" s="32">
        <f t="shared" ref="A10:A27" si="2">A9+1</f>
        <v>3</v>
      </c>
      <c r="B10" s="33" t="s">
        <v>16</v>
      </c>
      <c r="C10" s="34">
        <v>8</v>
      </c>
      <c r="D10" s="35">
        <v>3</v>
      </c>
      <c r="E10" s="36">
        <f t="shared" si="0"/>
        <v>11</v>
      </c>
      <c r="F10" s="34">
        <v>3</v>
      </c>
      <c r="G10" s="35">
        <v>18.5</v>
      </c>
      <c r="H10" s="39">
        <v>843029</v>
      </c>
      <c r="J10" s="40"/>
      <c r="K10" s="41"/>
      <c r="L10"/>
      <c r="M10" s="42" t="e">
        <f t="shared" si="1"/>
        <v>#DIV/0!</v>
      </c>
      <c r="N10" s="43" t="e">
        <f t="shared" si="1"/>
        <v>#DIV/0!</v>
      </c>
    </row>
    <row r="11" spans="1:29" x14ac:dyDescent="0.25">
      <c r="A11" s="32">
        <f t="shared" si="2"/>
        <v>4</v>
      </c>
      <c r="B11" s="44" t="s">
        <v>17</v>
      </c>
      <c r="C11" s="45">
        <v>3</v>
      </c>
      <c r="D11" s="46">
        <v>7</v>
      </c>
      <c r="E11" s="36">
        <f t="shared" si="0"/>
        <v>10</v>
      </c>
      <c r="F11" s="34"/>
      <c r="G11" s="35"/>
      <c r="H11" s="39"/>
      <c r="J11" s="40"/>
      <c r="K11" s="41"/>
      <c r="L11"/>
      <c r="M11" s="42" t="e">
        <f t="shared" si="1"/>
        <v>#DIV/0!</v>
      </c>
      <c r="N11" s="43" t="e">
        <f t="shared" si="1"/>
        <v>#DIV/0!</v>
      </c>
      <c r="P11" s="47"/>
    </row>
    <row r="12" spans="1:29" x14ac:dyDescent="0.25">
      <c r="A12" s="32">
        <f t="shared" si="2"/>
        <v>5</v>
      </c>
      <c r="B12" s="33" t="s">
        <v>18</v>
      </c>
      <c r="C12" s="34"/>
      <c r="D12" s="35"/>
      <c r="E12" s="36">
        <f t="shared" si="0"/>
        <v>0</v>
      </c>
      <c r="F12" s="34"/>
      <c r="G12" s="35"/>
      <c r="H12" s="39"/>
      <c r="J12" s="40"/>
      <c r="K12" s="41"/>
      <c r="L12"/>
      <c r="M12" s="42" t="e">
        <f t="shared" si="1"/>
        <v>#DIV/0!</v>
      </c>
      <c r="N12" s="43" t="e">
        <f t="shared" si="1"/>
        <v>#DIV/0!</v>
      </c>
      <c r="P12" s="47"/>
    </row>
    <row r="13" spans="1:29" x14ac:dyDescent="0.25">
      <c r="A13" s="32">
        <f t="shared" si="2"/>
        <v>6</v>
      </c>
      <c r="B13" s="33" t="s">
        <v>19</v>
      </c>
      <c r="C13" s="34"/>
      <c r="D13" s="35"/>
      <c r="E13" s="36">
        <f t="shared" si="0"/>
        <v>0</v>
      </c>
      <c r="F13" s="34"/>
      <c r="G13" s="35"/>
      <c r="H13" s="39"/>
      <c r="I13" s="48"/>
      <c r="J13" s="40"/>
      <c r="K13" s="41"/>
      <c r="L13" s="48"/>
      <c r="M13" s="42" t="e">
        <f t="shared" si="1"/>
        <v>#DIV/0!</v>
      </c>
      <c r="N13" s="43" t="e">
        <f t="shared" si="1"/>
        <v>#DIV/0!</v>
      </c>
      <c r="P13" s="47"/>
    </row>
    <row r="14" spans="1:29" x14ac:dyDescent="0.25">
      <c r="A14" s="32">
        <f t="shared" si="2"/>
        <v>7</v>
      </c>
      <c r="B14" s="33" t="s">
        <v>20</v>
      </c>
      <c r="C14" s="34"/>
      <c r="D14" s="35"/>
      <c r="E14" s="36">
        <f t="shared" si="0"/>
        <v>0</v>
      </c>
      <c r="F14" s="34"/>
      <c r="G14" s="35"/>
      <c r="H14" s="39"/>
      <c r="I14" s="48"/>
      <c r="J14" s="40"/>
      <c r="K14" s="41"/>
      <c r="L14" s="48"/>
      <c r="M14" s="42" t="e">
        <f t="shared" si="1"/>
        <v>#DIV/0!</v>
      </c>
      <c r="N14" s="43" t="e">
        <f t="shared" si="1"/>
        <v>#DIV/0!</v>
      </c>
      <c r="P14" s="47"/>
    </row>
    <row r="15" spans="1:29" x14ac:dyDescent="0.25">
      <c r="A15" s="32">
        <f t="shared" si="2"/>
        <v>8</v>
      </c>
      <c r="B15" s="33" t="s">
        <v>21</v>
      </c>
      <c r="C15" s="34">
        <v>4</v>
      </c>
      <c r="D15" s="35">
        <v>1</v>
      </c>
      <c r="E15" s="36">
        <f t="shared" si="0"/>
        <v>5</v>
      </c>
      <c r="F15" s="34">
        <v>2</v>
      </c>
      <c r="G15" s="35">
        <v>25</v>
      </c>
      <c r="H15" s="39">
        <v>1272504.5</v>
      </c>
      <c r="I15" s="48"/>
      <c r="J15" s="40"/>
      <c r="K15" s="41"/>
      <c r="L15" s="48"/>
      <c r="M15" s="49" t="e">
        <f>(G15+G16)/J15</f>
        <v>#DIV/0!</v>
      </c>
      <c r="N15" s="50" t="e">
        <f>(H15+H16)/K15</f>
        <v>#DIV/0!</v>
      </c>
      <c r="P15" s="47"/>
    </row>
    <row r="16" spans="1:29" x14ac:dyDescent="0.25">
      <c r="A16" s="32">
        <f t="shared" si="2"/>
        <v>9</v>
      </c>
      <c r="B16" s="33" t="s">
        <v>22</v>
      </c>
      <c r="C16" s="34"/>
      <c r="D16" s="35"/>
      <c r="E16" s="36">
        <f t="shared" si="0"/>
        <v>0</v>
      </c>
      <c r="F16" s="34"/>
      <c r="G16" s="35"/>
      <c r="H16" s="39"/>
      <c r="I16" s="48"/>
      <c r="J16" s="40"/>
      <c r="K16" s="41"/>
      <c r="L16" s="48"/>
      <c r="M16" s="42"/>
      <c r="N16" s="43"/>
    </row>
    <row r="17" spans="1:14" x14ac:dyDescent="0.25">
      <c r="A17" s="32">
        <f t="shared" si="2"/>
        <v>10</v>
      </c>
      <c r="B17" s="33" t="s">
        <v>23</v>
      </c>
      <c r="C17" s="34">
        <v>11</v>
      </c>
      <c r="D17" s="35">
        <v>1</v>
      </c>
      <c r="E17" s="36">
        <f t="shared" si="0"/>
        <v>12</v>
      </c>
      <c r="F17" s="34">
        <v>9</v>
      </c>
      <c r="G17" s="35">
        <v>104.5</v>
      </c>
      <c r="H17" s="39">
        <v>5501102.5</v>
      </c>
      <c r="I17" s="48"/>
      <c r="J17" s="40"/>
      <c r="K17" s="41"/>
      <c r="L17" s="48"/>
      <c r="M17" s="42" t="e">
        <f t="shared" ref="M17:N26" si="3">G17/J17</f>
        <v>#DIV/0!</v>
      </c>
      <c r="N17" s="43" t="e">
        <f t="shared" si="3"/>
        <v>#DIV/0!</v>
      </c>
    </row>
    <row r="18" spans="1:14" x14ac:dyDescent="0.25">
      <c r="A18" s="32">
        <f t="shared" si="2"/>
        <v>11</v>
      </c>
      <c r="B18" s="33" t="s">
        <v>24</v>
      </c>
      <c r="C18" s="34">
        <v>7</v>
      </c>
      <c r="D18" s="35"/>
      <c r="E18" s="36">
        <f t="shared" si="0"/>
        <v>7</v>
      </c>
      <c r="F18" s="34">
        <v>3</v>
      </c>
      <c r="G18" s="35">
        <v>21</v>
      </c>
      <c r="H18" s="39">
        <v>1090355</v>
      </c>
      <c r="I18" s="48"/>
      <c r="J18" s="40"/>
      <c r="K18" s="41"/>
      <c r="L18" s="48"/>
      <c r="M18" s="42" t="e">
        <f t="shared" si="3"/>
        <v>#DIV/0!</v>
      </c>
      <c r="N18" s="43" t="e">
        <f t="shared" si="3"/>
        <v>#DIV/0!</v>
      </c>
    </row>
    <row r="19" spans="1:14" s="48" customFormat="1" x14ac:dyDescent="0.25">
      <c r="A19" s="32">
        <f t="shared" si="2"/>
        <v>12</v>
      </c>
      <c r="B19" s="52" t="s">
        <v>25</v>
      </c>
      <c r="C19" s="53">
        <v>5</v>
      </c>
      <c r="D19" s="54"/>
      <c r="E19" s="55">
        <f t="shared" si="0"/>
        <v>5</v>
      </c>
      <c r="F19" s="53">
        <v>2</v>
      </c>
      <c r="G19" s="54">
        <v>24.5</v>
      </c>
      <c r="H19" s="56">
        <v>1297018.5</v>
      </c>
      <c r="J19" s="40"/>
      <c r="K19" s="41"/>
      <c r="M19" s="42" t="e">
        <f t="shared" si="3"/>
        <v>#DIV/0!</v>
      </c>
      <c r="N19" s="43" t="e">
        <f t="shared" si="3"/>
        <v>#DIV/0!</v>
      </c>
    </row>
    <row r="20" spans="1:14" x14ac:dyDescent="0.25">
      <c r="A20" s="32">
        <f t="shared" si="2"/>
        <v>13</v>
      </c>
      <c r="B20" s="33" t="s">
        <v>26</v>
      </c>
      <c r="C20" s="34">
        <v>9</v>
      </c>
      <c r="D20" s="35">
        <v>4</v>
      </c>
      <c r="E20" s="36">
        <f t="shared" si="0"/>
        <v>13</v>
      </c>
      <c r="F20" s="34">
        <v>7</v>
      </c>
      <c r="G20" s="35">
        <v>138</v>
      </c>
      <c r="H20" s="39">
        <v>6723240</v>
      </c>
      <c r="I20" s="48"/>
      <c r="J20" s="40"/>
      <c r="K20" s="41"/>
      <c r="L20" s="48"/>
      <c r="M20" s="42" t="e">
        <f t="shared" si="3"/>
        <v>#DIV/0!</v>
      </c>
      <c r="N20" s="43" t="e">
        <f t="shared" si="3"/>
        <v>#DIV/0!</v>
      </c>
    </row>
    <row r="21" spans="1:14" x14ac:dyDescent="0.25">
      <c r="A21" s="32">
        <f t="shared" si="2"/>
        <v>14</v>
      </c>
      <c r="B21" s="33" t="s">
        <v>27</v>
      </c>
      <c r="C21" s="34">
        <v>3</v>
      </c>
      <c r="D21" s="35">
        <v>2</v>
      </c>
      <c r="E21" s="36">
        <f t="shared" si="0"/>
        <v>5</v>
      </c>
      <c r="F21" s="34">
        <v>2</v>
      </c>
      <c r="G21" s="35">
        <v>55</v>
      </c>
      <c r="H21" s="39">
        <v>2666031</v>
      </c>
      <c r="I21" s="48"/>
      <c r="J21" s="40"/>
      <c r="K21" s="41"/>
      <c r="L21" s="48"/>
      <c r="M21" s="42" t="e">
        <f t="shared" si="3"/>
        <v>#DIV/0!</v>
      </c>
      <c r="N21" s="43" t="e">
        <f t="shared" si="3"/>
        <v>#DIV/0!</v>
      </c>
    </row>
    <row r="22" spans="1:14" x14ac:dyDescent="0.25">
      <c r="A22" s="32">
        <f t="shared" si="2"/>
        <v>15</v>
      </c>
      <c r="B22" s="57" t="s">
        <v>28</v>
      </c>
      <c r="C22" s="34">
        <v>11</v>
      </c>
      <c r="D22" s="35">
        <v>9</v>
      </c>
      <c r="E22" s="36">
        <f t="shared" si="0"/>
        <v>20</v>
      </c>
      <c r="F22" s="34">
        <v>15</v>
      </c>
      <c r="G22" s="35">
        <v>337</v>
      </c>
      <c r="H22" s="39">
        <v>16159043</v>
      </c>
      <c r="I22" s="48"/>
      <c r="J22" s="40"/>
      <c r="K22" s="41"/>
      <c r="L22" s="48"/>
      <c r="M22" s="42" t="e">
        <f t="shared" si="3"/>
        <v>#DIV/0!</v>
      </c>
      <c r="N22" s="43" t="e">
        <f t="shared" si="3"/>
        <v>#DIV/0!</v>
      </c>
    </row>
    <row r="23" spans="1:14" x14ac:dyDescent="0.25">
      <c r="A23" s="32">
        <f t="shared" si="2"/>
        <v>16</v>
      </c>
      <c r="B23" s="246" t="s">
        <v>89</v>
      </c>
      <c r="C23" s="34"/>
      <c r="D23" s="35">
        <v>9</v>
      </c>
      <c r="E23" s="36">
        <f t="shared" si="0"/>
        <v>9</v>
      </c>
      <c r="F23" s="34">
        <v>5</v>
      </c>
      <c r="G23" s="35">
        <v>44</v>
      </c>
      <c r="H23" s="39">
        <v>1620630</v>
      </c>
      <c r="I23" s="48"/>
      <c r="J23" s="40"/>
      <c r="K23" s="41"/>
      <c r="L23" s="48"/>
      <c r="M23" s="42" t="e">
        <f t="shared" si="3"/>
        <v>#DIV/0!</v>
      </c>
      <c r="N23" s="43" t="e">
        <f t="shared" si="3"/>
        <v>#DIV/0!</v>
      </c>
    </row>
    <row r="24" spans="1:14" x14ac:dyDescent="0.25">
      <c r="A24" s="32">
        <f t="shared" si="2"/>
        <v>17</v>
      </c>
      <c r="B24" s="33" t="s">
        <v>29</v>
      </c>
      <c r="C24" s="34">
        <v>16</v>
      </c>
      <c r="D24" s="35">
        <v>4</v>
      </c>
      <c r="E24" s="36">
        <f t="shared" si="0"/>
        <v>20</v>
      </c>
      <c r="F24" s="34">
        <v>2</v>
      </c>
      <c r="G24" s="35">
        <v>14</v>
      </c>
      <c r="H24" s="39">
        <v>738437</v>
      </c>
      <c r="J24" s="58">
        <v>280</v>
      </c>
      <c r="K24" s="59">
        <v>14367087.768786129</v>
      </c>
      <c r="L24"/>
      <c r="M24" s="42">
        <f t="shared" si="3"/>
        <v>0.05</v>
      </c>
      <c r="N24" s="43">
        <f t="shared" si="3"/>
        <v>5.139782062195826E-2</v>
      </c>
    </row>
    <row r="25" spans="1:14" x14ac:dyDescent="0.25">
      <c r="A25" s="32">
        <f t="shared" si="2"/>
        <v>18</v>
      </c>
      <c r="B25" s="33" t="s">
        <v>30</v>
      </c>
      <c r="C25" s="34">
        <v>2</v>
      </c>
      <c r="D25" s="35">
        <v>7</v>
      </c>
      <c r="E25" s="36">
        <f t="shared" si="0"/>
        <v>9</v>
      </c>
      <c r="F25" s="34">
        <v>5</v>
      </c>
      <c r="G25" s="35">
        <v>42</v>
      </c>
      <c r="H25" s="39">
        <v>2017141</v>
      </c>
      <c r="J25" s="40"/>
      <c r="K25" s="41"/>
      <c r="L25"/>
      <c r="M25" s="42" t="e">
        <f t="shared" si="3"/>
        <v>#DIV/0!</v>
      </c>
      <c r="N25" s="43" t="e">
        <f t="shared" si="3"/>
        <v>#DIV/0!</v>
      </c>
    </row>
    <row r="26" spans="1:14" x14ac:dyDescent="0.25">
      <c r="A26" s="32">
        <f t="shared" si="2"/>
        <v>19</v>
      </c>
      <c r="B26" s="33" t="s">
        <v>31</v>
      </c>
      <c r="C26" s="34">
        <v>2</v>
      </c>
      <c r="D26" s="35">
        <v>10</v>
      </c>
      <c r="E26" s="36">
        <f t="shared" si="0"/>
        <v>12</v>
      </c>
      <c r="F26" s="34"/>
      <c r="G26" s="35"/>
      <c r="H26" s="39"/>
      <c r="J26" s="40">
        <v>243</v>
      </c>
      <c r="K26" s="41">
        <v>10443467.630057802</v>
      </c>
      <c r="L26"/>
      <c r="M26" s="42">
        <f t="shared" si="3"/>
        <v>0</v>
      </c>
      <c r="N26" s="43">
        <f t="shared" si="3"/>
        <v>0</v>
      </c>
    </row>
    <row r="27" spans="1:14" x14ac:dyDescent="0.25">
      <c r="A27" s="247">
        <f t="shared" si="2"/>
        <v>20</v>
      </c>
      <c r="B27" s="61" t="s">
        <v>32</v>
      </c>
      <c r="C27" s="62">
        <v>25</v>
      </c>
      <c r="D27" s="63">
        <v>10</v>
      </c>
      <c r="E27" s="64">
        <f t="shared" si="0"/>
        <v>35</v>
      </c>
      <c r="F27" s="34"/>
      <c r="G27" s="35"/>
      <c r="H27" s="39"/>
      <c r="J27" s="40">
        <v>504</v>
      </c>
      <c r="K27" s="41">
        <v>26192104.578034684</v>
      </c>
      <c r="L27"/>
      <c r="M27" s="65">
        <f>(G28+G29)/J27</f>
        <v>0.72222222222222221</v>
      </c>
      <c r="N27" s="66">
        <f>(H28+H29)/K27</f>
        <v>0.74150291902420651</v>
      </c>
    </row>
    <row r="28" spans="1:14" x14ac:dyDescent="0.25">
      <c r="A28" s="60"/>
      <c r="B28" s="61" t="s">
        <v>33</v>
      </c>
      <c r="C28" s="34"/>
      <c r="D28" s="35"/>
      <c r="E28" s="36"/>
      <c r="F28" s="34"/>
      <c r="G28" s="35"/>
      <c r="H28" s="39"/>
      <c r="J28" s="67"/>
      <c r="K28" s="68"/>
      <c r="L28"/>
      <c r="M28" s="69"/>
      <c r="N28" s="70"/>
    </row>
    <row r="29" spans="1:14" x14ac:dyDescent="0.25">
      <c r="A29" s="32"/>
      <c r="B29" s="33" t="s">
        <v>34</v>
      </c>
      <c r="C29" s="34"/>
      <c r="D29" s="35"/>
      <c r="E29" s="36"/>
      <c r="F29" s="34">
        <v>31</v>
      </c>
      <c r="G29" s="35">
        <v>364</v>
      </c>
      <c r="H29" s="39">
        <v>19421522</v>
      </c>
      <c r="J29" s="40"/>
      <c r="K29" s="41"/>
      <c r="L29"/>
      <c r="M29" s="42"/>
      <c r="N29" s="43"/>
    </row>
    <row r="30" spans="1:14" x14ac:dyDescent="0.25">
      <c r="A30" s="32">
        <v>21</v>
      </c>
      <c r="B30" s="33" t="s">
        <v>35</v>
      </c>
      <c r="C30" s="34">
        <v>2</v>
      </c>
      <c r="D30" s="35">
        <v>3</v>
      </c>
      <c r="E30" s="36">
        <f t="shared" ref="E30:E40" si="4">C30+D30</f>
        <v>5</v>
      </c>
      <c r="F30" s="34"/>
      <c r="G30" s="35"/>
      <c r="H30" s="39"/>
      <c r="J30" s="40"/>
      <c r="K30" s="41"/>
      <c r="L30"/>
      <c r="M30" s="42" t="e">
        <f>G30/J30</f>
        <v>#DIV/0!</v>
      </c>
      <c r="N30" s="43" t="e">
        <f>H30/K30</f>
        <v>#DIV/0!</v>
      </c>
    </row>
    <row r="31" spans="1:14" x14ac:dyDescent="0.25">
      <c r="A31" s="60">
        <f t="shared" ref="A31:A40" si="5">A30+1</f>
        <v>22</v>
      </c>
      <c r="B31" s="61" t="s">
        <v>36</v>
      </c>
      <c r="C31" s="62">
        <v>8</v>
      </c>
      <c r="D31" s="63"/>
      <c r="E31" s="64">
        <f t="shared" si="4"/>
        <v>8</v>
      </c>
      <c r="F31" s="34">
        <v>1</v>
      </c>
      <c r="G31" s="35">
        <v>7</v>
      </c>
      <c r="H31" s="39">
        <v>374759</v>
      </c>
      <c r="J31" s="40"/>
      <c r="K31" s="41"/>
      <c r="L31"/>
      <c r="M31" s="73" t="e">
        <f>(G31+G32)/J31</f>
        <v>#DIV/0!</v>
      </c>
      <c r="N31" s="50" t="e">
        <f>(H31+H32)/K31</f>
        <v>#DIV/0!</v>
      </c>
    </row>
    <row r="32" spans="1:14" x14ac:dyDescent="0.25">
      <c r="A32" s="32">
        <f t="shared" si="5"/>
        <v>23</v>
      </c>
      <c r="B32" s="33" t="s">
        <v>37</v>
      </c>
      <c r="C32" s="34">
        <v>9</v>
      </c>
      <c r="D32" s="35">
        <v>3</v>
      </c>
      <c r="E32" s="36">
        <f t="shared" si="4"/>
        <v>12</v>
      </c>
      <c r="F32" s="34">
        <v>4</v>
      </c>
      <c r="G32" s="35">
        <v>22</v>
      </c>
      <c r="H32" s="39">
        <v>1138820</v>
      </c>
      <c r="J32" s="74"/>
      <c r="K32" s="68"/>
      <c r="L32"/>
      <c r="M32" s="42"/>
      <c r="N32" s="43"/>
    </row>
    <row r="33" spans="1:14" x14ac:dyDescent="0.25">
      <c r="A33" s="32">
        <f t="shared" si="5"/>
        <v>24</v>
      </c>
      <c r="B33" s="33" t="s">
        <v>38</v>
      </c>
      <c r="C33" s="34">
        <v>10</v>
      </c>
      <c r="D33" s="35">
        <v>3</v>
      </c>
      <c r="E33" s="36">
        <f t="shared" si="4"/>
        <v>13</v>
      </c>
      <c r="F33" s="34"/>
      <c r="G33" s="35"/>
      <c r="H33" s="39"/>
      <c r="I33" s="48"/>
      <c r="J33" s="40"/>
      <c r="K33" s="41"/>
      <c r="L33" s="48"/>
      <c r="M33" s="42" t="e">
        <f t="shared" ref="M33:N40" si="6">G33/J33</f>
        <v>#DIV/0!</v>
      </c>
      <c r="N33" s="43" t="e">
        <f t="shared" si="6"/>
        <v>#DIV/0!</v>
      </c>
    </row>
    <row r="34" spans="1:14" x14ac:dyDescent="0.25">
      <c r="A34" s="32">
        <f t="shared" si="5"/>
        <v>25</v>
      </c>
      <c r="B34" s="33" t="s">
        <v>39</v>
      </c>
      <c r="C34" s="34">
        <v>8</v>
      </c>
      <c r="D34" s="35"/>
      <c r="E34" s="36">
        <f t="shared" si="4"/>
        <v>8</v>
      </c>
      <c r="F34" s="34"/>
      <c r="G34" s="35"/>
      <c r="H34" s="39"/>
      <c r="I34" s="48"/>
      <c r="J34" s="40"/>
      <c r="K34" s="41"/>
      <c r="L34" s="48"/>
      <c r="M34" s="42" t="e">
        <f t="shared" si="6"/>
        <v>#DIV/0!</v>
      </c>
      <c r="N34" s="43" t="e">
        <f t="shared" si="6"/>
        <v>#DIV/0!</v>
      </c>
    </row>
    <row r="35" spans="1:14" x14ac:dyDescent="0.25">
      <c r="A35" s="32">
        <f t="shared" si="5"/>
        <v>26</v>
      </c>
      <c r="B35" s="33" t="s">
        <v>40</v>
      </c>
      <c r="C35" s="34">
        <v>1</v>
      </c>
      <c r="D35" s="35">
        <v>1</v>
      </c>
      <c r="E35" s="36">
        <f t="shared" si="4"/>
        <v>2</v>
      </c>
      <c r="F35" s="34">
        <v>1</v>
      </c>
      <c r="G35" s="35">
        <v>7</v>
      </c>
      <c r="H35" s="39">
        <v>384650</v>
      </c>
      <c r="I35" s="48"/>
      <c r="J35" s="40"/>
      <c r="K35" s="41"/>
      <c r="L35" s="48"/>
      <c r="M35" s="42" t="e">
        <f t="shared" si="6"/>
        <v>#DIV/0!</v>
      </c>
      <c r="N35" s="43" t="e">
        <f t="shared" si="6"/>
        <v>#DIV/0!</v>
      </c>
    </row>
    <row r="36" spans="1:14" x14ac:dyDescent="0.25">
      <c r="A36" s="32">
        <f t="shared" si="5"/>
        <v>27</v>
      </c>
      <c r="B36" s="33" t="s">
        <v>41</v>
      </c>
      <c r="C36" s="34">
        <v>4</v>
      </c>
      <c r="D36" s="35"/>
      <c r="E36" s="36">
        <f t="shared" si="4"/>
        <v>4</v>
      </c>
      <c r="F36" s="34">
        <v>3</v>
      </c>
      <c r="G36" s="35">
        <v>21</v>
      </c>
      <c r="H36" s="39">
        <v>1130563</v>
      </c>
      <c r="I36" s="48"/>
      <c r="J36" s="58"/>
      <c r="K36" s="59"/>
      <c r="L36" s="48"/>
      <c r="M36" s="42" t="e">
        <f t="shared" si="6"/>
        <v>#DIV/0!</v>
      </c>
      <c r="N36" s="43" t="e">
        <f t="shared" si="6"/>
        <v>#DIV/0!</v>
      </c>
    </row>
    <row r="37" spans="1:14" x14ac:dyDescent="0.25">
      <c r="A37" s="32">
        <f t="shared" si="5"/>
        <v>28</v>
      </c>
      <c r="B37" s="33" t="s">
        <v>42</v>
      </c>
      <c r="C37" s="34">
        <v>3</v>
      </c>
      <c r="D37" s="35"/>
      <c r="E37" s="36">
        <f t="shared" si="4"/>
        <v>3</v>
      </c>
      <c r="F37" s="34">
        <v>1</v>
      </c>
      <c r="G37" s="35">
        <v>7</v>
      </c>
      <c r="H37" s="39">
        <v>393428</v>
      </c>
      <c r="J37" s="40"/>
      <c r="K37" s="41"/>
      <c r="L37"/>
      <c r="M37" s="42" t="e">
        <f t="shared" si="6"/>
        <v>#DIV/0!</v>
      </c>
      <c r="N37" s="43" t="e">
        <f t="shared" si="6"/>
        <v>#DIV/0!</v>
      </c>
    </row>
    <row r="38" spans="1:14" x14ac:dyDescent="0.25">
      <c r="A38" s="32">
        <f t="shared" si="5"/>
        <v>29</v>
      </c>
      <c r="B38" s="44" t="s">
        <v>43</v>
      </c>
      <c r="C38" s="45">
        <v>1</v>
      </c>
      <c r="D38" s="46">
        <v>15</v>
      </c>
      <c r="E38" s="36">
        <f t="shared" si="4"/>
        <v>16</v>
      </c>
      <c r="F38" s="34">
        <v>10</v>
      </c>
      <c r="G38" s="35">
        <v>227</v>
      </c>
      <c r="H38" s="39">
        <v>10937306</v>
      </c>
      <c r="J38" s="58"/>
      <c r="K38" s="59"/>
      <c r="L38"/>
      <c r="M38" s="42" t="e">
        <f t="shared" si="6"/>
        <v>#DIV/0!</v>
      </c>
      <c r="N38" s="43" t="e">
        <f t="shared" si="6"/>
        <v>#DIV/0!</v>
      </c>
    </row>
    <row r="39" spans="1:14" x14ac:dyDescent="0.25">
      <c r="A39" s="32">
        <f t="shared" si="5"/>
        <v>30</v>
      </c>
      <c r="B39" s="33" t="s">
        <v>44</v>
      </c>
      <c r="C39" s="34">
        <v>4</v>
      </c>
      <c r="D39" s="35">
        <v>3</v>
      </c>
      <c r="E39" s="36">
        <f t="shared" si="4"/>
        <v>7</v>
      </c>
      <c r="F39" s="34">
        <v>5</v>
      </c>
      <c r="G39" s="35">
        <v>28.5</v>
      </c>
      <c r="H39" s="39">
        <v>1450356.5</v>
      </c>
      <c r="J39" s="58"/>
      <c r="K39" s="59"/>
      <c r="L39"/>
      <c r="M39" s="42" t="e">
        <f t="shared" si="6"/>
        <v>#DIV/0!</v>
      </c>
      <c r="N39" s="43" t="e">
        <f t="shared" si="6"/>
        <v>#DIV/0!</v>
      </c>
    </row>
    <row r="40" spans="1:14" x14ac:dyDescent="0.25">
      <c r="A40" s="32">
        <f t="shared" si="5"/>
        <v>31</v>
      </c>
      <c r="B40" s="44" t="s">
        <v>45</v>
      </c>
      <c r="C40" s="34">
        <v>1</v>
      </c>
      <c r="D40" s="35"/>
      <c r="E40" s="36">
        <f t="shared" si="4"/>
        <v>1</v>
      </c>
      <c r="F40" s="34"/>
      <c r="G40" s="35"/>
      <c r="H40" s="39"/>
      <c r="J40" s="58"/>
      <c r="K40" s="59"/>
      <c r="L40"/>
      <c r="M40" s="42" t="e">
        <f t="shared" si="6"/>
        <v>#DIV/0!</v>
      </c>
      <c r="N40" s="43" t="e">
        <f t="shared" si="6"/>
        <v>#DIV/0!</v>
      </c>
    </row>
    <row r="41" spans="1:14" ht="15.75" thickBot="1" x14ac:dyDescent="0.3">
      <c r="A41" s="75"/>
      <c r="B41" s="76"/>
      <c r="C41" s="45"/>
      <c r="D41" s="46"/>
      <c r="E41" s="77"/>
      <c r="F41" s="78"/>
      <c r="G41" s="79"/>
      <c r="H41" s="80"/>
      <c r="J41" s="81"/>
      <c r="K41" s="82"/>
      <c r="L41"/>
      <c r="M41" s="83"/>
      <c r="N41" s="84"/>
    </row>
    <row r="42" spans="1:14" ht="15.75" thickBot="1" x14ac:dyDescent="0.3">
      <c r="A42" s="85"/>
      <c r="B42" s="86" t="s">
        <v>46</v>
      </c>
      <c r="C42" s="87">
        <f>SUM(C8:C40)</f>
        <v>165</v>
      </c>
      <c r="D42" s="88">
        <f>SUM(D8:D40)</f>
        <v>96</v>
      </c>
      <c r="E42" s="89">
        <f>SUM(E8:E39)</f>
        <v>260</v>
      </c>
      <c r="F42" s="93">
        <f>SUM(F8:F39)</f>
        <v>115</v>
      </c>
      <c r="G42" s="88">
        <f>SUM(G8:G41)</f>
        <v>1546.5</v>
      </c>
      <c r="H42" s="92">
        <f>SUM(H8:H41)</f>
        <v>77148348.5</v>
      </c>
      <c r="J42" s="94">
        <f>SUM(J8:J41)</f>
        <v>1027</v>
      </c>
      <c r="K42" s="95">
        <f>SUM(K8:K41)</f>
        <v>51002659.976878613</v>
      </c>
      <c r="L42"/>
      <c r="M42" s="96">
        <f>G42/J42</f>
        <v>1.5058422590068159</v>
      </c>
      <c r="N42" s="97">
        <f>H42/K42</f>
        <v>1.5126338221373981</v>
      </c>
    </row>
    <row r="43" spans="1:14" x14ac:dyDescent="0.25">
      <c r="A43" s="60"/>
      <c r="B43" s="98"/>
      <c r="C43" s="62"/>
      <c r="D43" s="63"/>
      <c r="E43" s="64"/>
      <c r="F43" s="71"/>
      <c r="G43" s="63"/>
      <c r="H43" s="100"/>
      <c r="J43" s="67"/>
      <c r="K43" s="101"/>
      <c r="L43"/>
      <c r="M43" s="69"/>
      <c r="N43" s="70"/>
    </row>
    <row r="44" spans="1:14" x14ac:dyDescent="0.25">
      <c r="A44" s="32"/>
      <c r="B44" s="102"/>
      <c r="C44" s="34"/>
      <c r="D44" s="35"/>
      <c r="E44" s="36"/>
      <c r="F44" s="37"/>
      <c r="G44" s="63"/>
      <c r="H44" s="63"/>
      <c r="J44" s="40"/>
      <c r="K44" s="103"/>
      <c r="L44"/>
      <c r="M44" s="42"/>
      <c r="N44" s="104"/>
    </row>
    <row r="45" spans="1:14" x14ac:dyDescent="0.25">
      <c r="A45" s="32"/>
      <c r="B45" s="105"/>
      <c r="C45" s="34"/>
      <c r="D45" s="35"/>
      <c r="E45" s="36"/>
      <c r="F45" s="37"/>
      <c r="G45" s="63"/>
      <c r="H45" s="100"/>
      <c r="J45" s="67"/>
      <c r="K45" s="101"/>
      <c r="L45"/>
      <c r="M45" s="42"/>
      <c r="N45" s="104"/>
    </row>
    <row r="46" spans="1:14" x14ac:dyDescent="0.25">
      <c r="A46" s="32">
        <v>1</v>
      </c>
      <c r="B46" s="33" t="s">
        <v>47</v>
      </c>
      <c r="C46" s="34">
        <v>4</v>
      </c>
      <c r="D46" s="35">
        <v>3</v>
      </c>
      <c r="E46" s="36">
        <f t="shared" ref="E46:E51" si="7">C46+D46</f>
        <v>7</v>
      </c>
      <c r="F46" s="34">
        <v>7</v>
      </c>
      <c r="G46" s="35">
        <v>84</v>
      </c>
      <c r="H46" s="39">
        <v>4440436</v>
      </c>
      <c r="J46" s="106"/>
      <c r="K46" s="68"/>
      <c r="L46"/>
      <c r="M46" s="42" t="e">
        <f t="shared" ref="M46:N48" si="8">G46/J46</f>
        <v>#DIV/0!</v>
      </c>
      <c r="N46" s="43" t="e">
        <f t="shared" si="8"/>
        <v>#DIV/0!</v>
      </c>
    </row>
    <row r="47" spans="1:14" x14ac:dyDescent="0.25">
      <c r="A47" s="32">
        <v>2</v>
      </c>
      <c r="B47" s="33" t="s">
        <v>48</v>
      </c>
      <c r="C47" s="34">
        <v>8</v>
      </c>
      <c r="D47" s="35">
        <v>2</v>
      </c>
      <c r="E47" s="36">
        <f t="shared" si="7"/>
        <v>10</v>
      </c>
      <c r="F47" s="34">
        <v>7</v>
      </c>
      <c r="G47" s="35">
        <v>133</v>
      </c>
      <c r="H47" s="39">
        <v>7179641</v>
      </c>
      <c r="I47" s="48"/>
      <c r="J47" s="106"/>
      <c r="K47" s="107"/>
      <c r="L47" s="48"/>
      <c r="M47" s="42" t="e">
        <f t="shared" si="8"/>
        <v>#DIV/0!</v>
      </c>
      <c r="N47" s="43" t="e">
        <f t="shared" si="8"/>
        <v>#DIV/0!</v>
      </c>
    </row>
    <row r="48" spans="1:14" x14ac:dyDescent="0.25">
      <c r="A48" s="32">
        <v>3</v>
      </c>
      <c r="B48" s="33" t="s">
        <v>49</v>
      </c>
      <c r="C48" s="34">
        <v>12</v>
      </c>
      <c r="D48" s="35">
        <v>3</v>
      </c>
      <c r="E48" s="36">
        <f t="shared" si="7"/>
        <v>15</v>
      </c>
      <c r="F48" s="34">
        <v>12</v>
      </c>
      <c r="G48" s="108">
        <v>361</v>
      </c>
      <c r="H48" s="39">
        <v>18628109</v>
      </c>
      <c r="J48" s="106">
        <v>792</v>
      </c>
      <c r="K48" s="107">
        <v>40072688.219653182</v>
      </c>
      <c r="L48"/>
      <c r="M48" s="42">
        <f t="shared" si="8"/>
        <v>0.45580808080808083</v>
      </c>
      <c r="N48" s="43">
        <f t="shared" si="8"/>
        <v>0.46485798252147359</v>
      </c>
    </row>
    <row r="49" spans="1:16" x14ac:dyDescent="0.25">
      <c r="A49" s="32">
        <v>4</v>
      </c>
      <c r="B49" s="33" t="s">
        <v>50</v>
      </c>
      <c r="C49" s="34">
        <v>11</v>
      </c>
      <c r="D49" s="35">
        <v>4</v>
      </c>
      <c r="E49" s="36">
        <f t="shared" si="7"/>
        <v>15</v>
      </c>
      <c r="F49" s="34">
        <v>4</v>
      </c>
      <c r="G49" s="35">
        <v>33</v>
      </c>
      <c r="H49" s="39">
        <v>1614036.5</v>
      </c>
      <c r="J49" s="106"/>
      <c r="K49" s="68"/>
      <c r="L49"/>
      <c r="M49" s="109" t="e">
        <f>(G49+G50)/J49</f>
        <v>#DIV/0!</v>
      </c>
      <c r="N49" s="66" t="e">
        <f>(H49+H50)/K49</f>
        <v>#DIV/0!</v>
      </c>
      <c r="O49" s="110"/>
      <c r="P49" s="111"/>
    </row>
    <row r="50" spans="1:16" x14ac:dyDescent="0.25">
      <c r="A50" s="32">
        <v>5</v>
      </c>
      <c r="B50" s="33" t="s">
        <v>51</v>
      </c>
      <c r="C50" s="34">
        <v>20</v>
      </c>
      <c r="D50" s="35">
        <v>7</v>
      </c>
      <c r="E50" s="36">
        <f t="shared" si="7"/>
        <v>27</v>
      </c>
      <c r="F50" s="34">
        <v>8</v>
      </c>
      <c r="G50" s="35">
        <v>102.5</v>
      </c>
      <c r="H50" s="39">
        <v>4918547.5</v>
      </c>
      <c r="J50" s="112"/>
      <c r="K50" s="113"/>
      <c r="L50"/>
      <c r="M50" s="42"/>
      <c r="N50" s="43"/>
      <c r="O50" s="110"/>
      <c r="P50" s="111"/>
    </row>
    <row r="51" spans="1:16" x14ac:dyDescent="0.25">
      <c r="A51" s="32">
        <v>6</v>
      </c>
      <c r="B51" s="33" t="s">
        <v>52</v>
      </c>
      <c r="C51" s="34">
        <v>17</v>
      </c>
      <c r="D51" s="35">
        <v>2</v>
      </c>
      <c r="E51" s="36">
        <f t="shared" si="7"/>
        <v>19</v>
      </c>
      <c r="F51" s="34">
        <v>1</v>
      </c>
      <c r="G51" s="35">
        <v>11.5</v>
      </c>
      <c r="H51" s="39">
        <v>578459</v>
      </c>
      <c r="J51" s="112"/>
      <c r="K51" s="113"/>
      <c r="L51"/>
      <c r="M51" s="42" t="e">
        <f>G51/J51</f>
        <v>#DIV/0!</v>
      </c>
      <c r="N51" s="43" t="e">
        <f>H51/K51</f>
        <v>#DIV/0!</v>
      </c>
    </row>
    <row r="52" spans="1:16" ht="15.75" thickBot="1" x14ac:dyDescent="0.3">
      <c r="A52" s="75"/>
      <c r="B52" s="76"/>
      <c r="C52" s="45"/>
      <c r="D52" s="46"/>
      <c r="E52" s="77"/>
      <c r="F52" s="78"/>
      <c r="G52" s="114"/>
      <c r="H52" s="80"/>
      <c r="J52" s="115"/>
      <c r="K52" s="116"/>
      <c r="L52"/>
      <c r="M52" s="83"/>
      <c r="N52" s="117"/>
    </row>
    <row r="53" spans="1:16" ht="15.75" thickBot="1" x14ac:dyDescent="0.3">
      <c r="A53" s="118"/>
      <c r="B53" s="119" t="s">
        <v>53</v>
      </c>
      <c r="C53" s="120">
        <f t="shared" ref="C53:H53" si="9">SUM(C46:C51)</f>
        <v>72</v>
      </c>
      <c r="D53" s="121">
        <f t="shared" si="9"/>
        <v>21</v>
      </c>
      <c r="E53" s="122">
        <f t="shared" si="9"/>
        <v>93</v>
      </c>
      <c r="F53" s="123">
        <f>SUM(F46:F52)</f>
        <v>39</v>
      </c>
      <c r="G53" s="126">
        <f t="shared" si="9"/>
        <v>725</v>
      </c>
      <c r="H53" s="125">
        <f t="shared" si="9"/>
        <v>37359229</v>
      </c>
      <c r="J53" s="127">
        <f>SUM(J46:J52)</f>
        <v>792</v>
      </c>
      <c r="K53" s="127">
        <f>SUM(K46:K52)</f>
        <v>40072688.219653182</v>
      </c>
      <c r="L53"/>
      <c r="M53" s="128">
        <f>G53/J53</f>
        <v>0.91540404040404044</v>
      </c>
      <c r="N53" s="129">
        <f>H53/K53</f>
        <v>0.93228656872781501</v>
      </c>
      <c r="O53" s="130"/>
      <c r="P53" s="130"/>
    </row>
    <row r="54" spans="1:16" x14ac:dyDescent="0.25">
      <c r="A54" s="60"/>
      <c r="B54" s="98"/>
      <c r="C54" s="62"/>
      <c r="D54" s="63"/>
      <c r="E54" s="131"/>
      <c r="F54" s="71"/>
      <c r="G54" s="132"/>
      <c r="H54" s="132"/>
      <c r="J54" s="40"/>
      <c r="K54" s="103"/>
      <c r="L54"/>
      <c r="M54" s="69"/>
      <c r="N54" s="70"/>
    </row>
    <row r="55" spans="1:16" x14ac:dyDescent="0.25">
      <c r="A55" s="32"/>
      <c r="B55" s="102"/>
      <c r="C55" s="34"/>
      <c r="D55" s="35"/>
      <c r="E55" s="64"/>
      <c r="F55" s="37"/>
      <c r="G55" s="134"/>
      <c r="H55" s="39"/>
      <c r="J55" s="40"/>
      <c r="K55" s="103"/>
      <c r="L55"/>
      <c r="M55" s="42"/>
      <c r="N55" s="104"/>
    </row>
    <row r="56" spans="1:16" x14ac:dyDescent="0.25">
      <c r="A56" s="32"/>
      <c r="B56" s="105"/>
      <c r="C56" s="34"/>
      <c r="D56" s="35"/>
      <c r="E56" s="36"/>
      <c r="F56" s="34"/>
      <c r="G56" s="35"/>
      <c r="H56" s="39"/>
      <c r="J56" s="40"/>
      <c r="K56" s="103"/>
      <c r="L56"/>
      <c r="M56" s="42"/>
      <c r="N56" s="104"/>
    </row>
    <row r="57" spans="1:16" x14ac:dyDescent="0.25">
      <c r="A57" s="32">
        <v>1</v>
      </c>
      <c r="B57" s="33" t="s">
        <v>54</v>
      </c>
      <c r="C57" s="34">
        <v>2</v>
      </c>
      <c r="D57" s="35">
        <v>3</v>
      </c>
      <c r="E57" s="36">
        <f t="shared" ref="E57:E63" si="10">C57+D57</f>
        <v>5</v>
      </c>
      <c r="F57" s="34">
        <v>3</v>
      </c>
      <c r="G57" s="35">
        <v>20</v>
      </c>
      <c r="H57" s="39">
        <v>975925</v>
      </c>
      <c r="I57" s="48"/>
      <c r="J57" s="135">
        <v>410</v>
      </c>
      <c r="K57" s="136">
        <v>16862889.699421965</v>
      </c>
      <c r="L57" s="48"/>
      <c r="M57" s="42">
        <f>G57/J57</f>
        <v>4.878048780487805E-2</v>
      </c>
      <c r="N57" s="43">
        <f t="shared" ref="M57:N63" si="11">H57/K57</f>
        <v>5.7874125810919184E-2</v>
      </c>
    </row>
    <row r="58" spans="1:16" x14ac:dyDescent="0.25">
      <c r="A58" s="32">
        <f>A57+1</f>
        <v>2</v>
      </c>
      <c r="B58" s="44" t="s">
        <v>55</v>
      </c>
      <c r="C58" s="45">
        <v>2</v>
      </c>
      <c r="D58" s="46"/>
      <c r="E58" s="36">
        <f t="shared" si="10"/>
        <v>2</v>
      </c>
      <c r="F58" s="34"/>
      <c r="G58" s="35"/>
      <c r="H58" s="39"/>
      <c r="I58" s="48"/>
      <c r="J58" s="40"/>
      <c r="K58" s="103"/>
      <c r="L58" s="48"/>
      <c r="M58" s="42" t="e">
        <f t="shared" si="11"/>
        <v>#DIV/0!</v>
      </c>
      <c r="N58" s="43" t="e">
        <f t="shared" si="11"/>
        <v>#DIV/0!</v>
      </c>
    </row>
    <row r="59" spans="1:16" x14ac:dyDescent="0.25">
      <c r="A59" s="32">
        <f>A58+1</f>
        <v>3</v>
      </c>
      <c r="B59" s="33" t="s">
        <v>56</v>
      </c>
      <c r="C59" s="34">
        <v>7</v>
      </c>
      <c r="D59" s="35"/>
      <c r="E59" s="36">
        <f t="shared" si="10"/>
        <v>7</v>
      </c>
      <c r="F59" s="34">
        <v>1</v>
      </c>
      <c r="G59" s="35">
        <v>25</v>
      </c>
      <c r="H59" s="39">
        <v>1358941</v>
      </c>
      <c r="I59" s="48"/>
      <c r="J59" s="40"/>
      <c r="K59" s="103"/>
      <c r="L59" s="48"/>
      <c r="M59" s="42" t="e">
        <f t="shared" si="11"/>
        <v>#DIV/0!</v>
      </c>
      <c r="N59" s="43" t="e">
        <f t="shared" si="11"/>
        <v>#DIV/0!</v>
      </c>
    </row>
    <row r="60" spans="1:16" x14ac:dyDescent="0.25">
      <c r="A60" s="32">
        <f>A59+1</f>
        <v>4</v>
      </c>
      <c r="B60" s="33" t="s">
        <v>57</v>
      </c>
      <c r="C60" s="34">
        <v>9</v>
      </c>
      <c r="D60" s="35">
        <v>6</v>
      </c>
      <c r="E60" s="36">
        <f t="shared" si="10"/>
        <v>15</v>
      </c>
      <c r="F60" s="34">
        <v>15</v>
      </c>
      <c r="G60" s="35">
        <v>305</v>
      </c>
      <c r="H60" s="39">
        <v>15095758</v>
      </c>
      <c r="J60" s="40">
        <v>646</v>
      </c>
      <c r="K60" s="103">
        <v>27461014.566473987</v>
      </c>
      <c r="L60"/>
      <c r="M60" s="42">
        <f t="shared" si="11"/>
        <v>0.47213622291021673</v>
      </c>
      <c r="N60" s="43">
        <f t="shared" si="11"/>
        <v>0.54971596054683958</v>
      </c>
    </row>
    <row r="61" spans="1:16" x14ac:dyDescent="0.25">
      <c r="A61" s="32">
        <f>A60+1</f>
        <v>5</v>
      </c>
      <c r="B61" s="33" t="s">
        <v>58</v>
      </c>
      <c r="C61" s="34">
        <v>2</v>
      </c>
      <c r="D61" s="35"/>
      <c r="E61" s="36">
        <f t="shared" si="10"/>
        <v>2</v>
      </c>
      <c r="F61" s="34">
        <v>1</v>
      </c>
      <c r="G61" s="35">
        <v>3</v>
      </c>
      <c r="H61" s="39">
        <v>155477</v>
      </c>
      <c r="I61" s="48"/>
      <c r="J61" s="40"/>
      <c r="K61" s="41"/>
      <c r="L61" s="48"/>
      <c r="M61" s="42" t="e">
        <f t="shared" si="11"/>
        <v>#DIV/0!</v>
      </c>
      <c r="N61" s="43" t="e">
        <f t="shared" si="11"/>
        <v>#DIV/0!</v>
      </c>
    </row>
    <row r="62" spans="1:16" x14ac:dyDescent="0.25">
      <c r="A62" s="75">
        <f>A61+1</f>
        <v>6</v>
      </c>
      <c r="B62" s="44" t="s">
        <v>59</v>
      </c>
      <c r="C62" s="45">
        <v>1</v>
      </c>
      <c r="D62" s="46"/>
      <c r="E62" s="36">
        <f t="shared" si="10"/>
        <v>1</v>
      </c>
      <c r="F62" s="34"/>
      <c r="G62" s="35"/>
      <c r="H62" s="39"/>
      <c r="I62" s="48"/>
      <c r="J62" s="137">
        <v>12</v>
      </c>
      <c r="K62" s="55">
        <v>485318.73410404625</v>
      </c>
      <c r="L62" s="48"/>
      <c r="M62" s="42">
        <f t="shared" si="11"/>
        <v>0</v>
      </c>
      <c r="N62" s="43">
        <f t="shared" si="11"/>
        <v>0</v>
      </c>
    </row>
    <row r="63" spans="1:16" x14ac:dyDescent="0.25">
      <c r="A63" s="32">
        <v>7</v>
      </c>
      <c r="B63" s="33" t="s">
        <v>60</v>
      </c>
      <c r="C63" s="34">
        <v>3</v>
      </c>
      <c r="D63" s="35">
        <v>1</v>
      </c>
      <c r="E63" s="36">
        <f t="shared" si="10"/>
        <v>4</v>
      </c>
      <c r="F63" s="34"/>
      <c r="G63" s="35"/>
      <c r="H63" s="39"/>
      <c r="J63" s="138"/>
      <c r="K63" s="139"/>
      <c r="L63"/>
      <c r="M63" s="42" t="e">
        <f t="shared" si="11"/>
        <v>#DIV/0!</v>
      </c>
      <c r="N63" s="43" t="e">
        <f t="shared" si="11"/>
        <v>#DIV/0!</v>
      </c>
    </row>
    <row r="64" spans="1:16" ht="15.75" thickBot="1" x14ac:dyDescent="0.3">
      <c r="A64" s="32"/>
      <c r="B64" s="33"/>
      <c r="C64" s="34"/>
      <c r="D64" s="35"/>
      <c r="E64" s="36"/>
      <c r="F64" s="34"/>
      <c r="G64" s="35"/>
      <c r="H64" s="39"/>
      <c r="J64" s="138"/>
      <c r="K64" s="139"/>
      <c r="L64"/>
      <c r="M64" s="42"/>
      <c r="N64" s="43"/>
    </row>
    <row r="65" spans="1:14" ht="15.75" thickBot="1" x14ac:dyDescent="0.3">
      <c r="A65" s="140"/>
      <c r="B65" s="141" t="s">
        <v>61</v>
      </c>
      <c r="C65" s="142">
        <f t="shared" ref="C65:K65" si="12">SUM(C57:C63)</f>
        <v>26</v>
      </c>
      <c r="D65" s="143">
        <f t="shared" si="12"/>
        <v>10</v>
      </c>
      <c r="E65" s="143">
        <f t="shared" si="12"/>
        <v>36</v>
      </c>
      <c r="F65" s="147">
        <f t="shared" si="12"/>
        <v>20</v>
      </c>
      <c r="G65" s="147">
        <f t="shared" si="12"/>
        <v>353</v>
      </c>
      <c r="H65" s="147">
        <f t="shared" si="12"/>
        <v>17586101</v>
      </c>
      <c r="I65" s="148">
        <f t="shared" si="12"/>
        <v>0</v>
      </c>
      <c r="J65" s="147">
        <f t="shared" si="12"/>
        <v>1068</v>
      </c>
      <c r="K65" s="147">
        <f t="shared" si="12"/>
        <v>44809222.999999993</v>
      </c>
      <c r="L65"/>
      <c r="M65" s="149">
        <f>G65/J65</f>
        <v>0.33052434456928836</v>
      </c>
      <c r="N65" s="150">
        <f>H65/K65</f>
        <v>0.39246610011514821</v>
      </c>
    </row>
    <row r="66" spans="1:14" x14ac:dyDescent="0.25">
      <c r="A66" s="60"/>
      <c r="B66" s="98"/>
      <c r="C66" s="62"/>
      <c r="D66" s="63"/>
      <c r="E66" s="64"/>
      <c r="F66" s="71"/>
      <c r="G66" s="132"/>
      <c r="H66" s="100"/>
      <c r="J66" s="40"/>
      <c r="K66" s="103"/>
      <c r="L66"/>
      <c r="M66" s="69"/>
      <c r="N66" s="70"/>
    </row>
    <row r="67" spans="1:14" x14ac:dyDescent="0.25">
      <c r="A67" s="32"/>
      <c r="B67" s="102"/>
      <c r="C67" s="34"/>
      <c r="D67" s="35"/>
      <c r="E67" s="36"/>
      <c r="F67" s="37"/>
      <c r="G67" s="134"/>
      <c r="H67" s="39"/>
      <c r="J67" s="40"/>
      <c r="K67" s="103"/>
      <c r="L67"/>
      <c r="M67" s="42"/>
      <c r="N67" s="104"/>
    </row>
    <row r="68" spans="1:14" x14ac:dyDescent="0.25">
      <c r="A68" s="32"/>
      <c r="B68" s="105"/>
      <c r="C68" s="34"/>
      <c r="D68" s="35"/>
      <c r="E68" s="36"/>
      <c r="F68" s="37"/>
      <c r="G68" s="134"/>
      <c r="H68" s="39"/>
      <c r="J68" s="40"/>
      <c r="K68" s="103"/>
      <c r="L68"/>
      <c r="M68" s="42"/>
      <c r="N68" s="104"/>
    </row>
    <row r="69" spans="1:14" x14ac:dyDescent="0.25">
      <c r="A69" s="32">
        <v>1</v>
      </c>
      <c r="B69" s="33" t="s">
        <v>62</v>
      </c>
      <c r="C69" s="34">
        <v>6</v>
      </c>
      <c r="D69" s="35"/>
      <c r="E69" s="36">
        <f t="shared" ref="E69:E74" si="13">C69+D69</f>
        <v>6</v>
      </c>
      <c r="F69" s="34">
        <v>2</v>
      </c>
      <c r="G69" s="35">
        <v>22</v>
      </c>
      <c r="H69" s="39">
        <v>1245640.5</v>
      </c>
      <c r="J69" s="112">
        <v>70</v>
      </c>
      <c r="K69" s="113">
        <v>3821383.3526011556</v>
      </c>
      <c r="L69"/>
      <c r="M69" s="42">
        <f t="shared" ref="M69:N73" si="14">G69/J69</f>
        <v>0.31428571428571428</v>
      </c>
      <c r="N69" s="43">
        <f t="shared" si="14"/>
        <v>0.32596585714231263</v>
      </c>
    </row>
    <row r="70" spans="1:14" x14ac:dyDescent="0.25">
      <c r="A70" s="32">
        <f>A69+1</f>
        <v>2</v>
      </c>
      <c r="B70" s="33" t="s">
        <v>63</v>
      </c>
      <c r="C70" s="34">
        <v>3</v>
      </c>
      <c r="D70" s="35"/>
      <c r="E70" s="36">
        <f t="shared" si="13"/>
        <v>3</v>
      </c>
      <c r="F70" s="34">
        <v>1</v>
      </c>
      <c r="G70" s="35">
        <v>6.5</v>
      </c>
      <c r="H70" s="39">
        <v>388895</v>
      </c>
      <c r="J70" s="112"/>
      <c r="K70" s="113"/>
      <c r="L70"/>
      <c r="M70" s="42" t="e">
        <f t="shared" si="14"/>
        <v>#DIV/0!</v>
      </c>
      <c r="N70" s="43" t="e">
        <f t="shared" si="14"/>
        <v>#DIV/0!</v>
      </c>
    </row>
    <row r="71" spans="1:14" x14ac:dyDescent="0.25">
      <c r="A71" s="32">
        <f>A70+1</f>
        <v>3</v>
      </c>
      <c r="B71" s="33" t="s">
        <v>64</v>
      </c>
      <c r="C71" s="34">
        <v>2</v>
      </c>
      <c r="D71" s="35">
        <v>1</v>
      </c>
      <c r="E71" s="36">
        <f t="shared" si="13"/>
        <v>3</v>
      </c>
      <c r="F71" s="34">
        <v>1</v>
      </c>
      <c r="G71" s="35">
        <v>6.5</v>
      </c>
      <c r="H71" s="39">
        <v>339066</v>
      </c>
      <c r="J71" s="112"/>
      <c r="K71" s="113"/>
      <c r="L71"/>
      <c r="M71" s="42" t="e">
        <f t="shared" si="14"/>
        <v>#DIV/0!</v>
      </c>
      <c r="N71" s="43" t="e">
        <f t="shared" si="14"/>
        <v>#DIV/0!</v>
      </c>
    </row>
    <row r="72" spans="1:14" x14ac:dyDescent="0.25">
      <c r="A72" s="32">
        <f>A71+1</f>
        <v>4</v>
      </c>
      <c r="B72" s="33" t="s">
        <v>65</v>
      </c>
      <c r="C72" s="34">
        <v>6</v>
      </c>
      <c r="D72" s="35">
        <v>4</v>
      </c>
      <c r="E72" s="36">
        <f t="shared" si="13"/>
        <v>10</v>
      </c>
      <c r="F72" s="34">
        <v>3</v>
      </c>
      <c r="G72" s="35">
        <v>20.5</v>
      </c>
      <c r="H72" s="39">
        <v>1135028</v>
      </c>
      <c r="J72" s="112">
        <v>21</v>
      </c>
      <c r="K72" s="113">
        <v>1062045.5028901733</v>
      </c>
      <c r="L72"/>
      <c r="M72" s="42">
        <f t="shared" si="14"/>
        <v>0.97619047619047616</v>
      </c>
      <c r="N72" s="43">
        <f t="shared" si="14"/>
        <v>1.0687188043367422</v>
      </c>
    </row>
    <row r="73" spans="1:14" x14ac:dyDescent="0.25">
      <c r="A73" s="32">
        <f>A72+1</f>
        <v>5</v>
      </c>
      <c r="B73" s="33" t="s">
        <v>66</v>
      </c>
      <c r="C73" s="34">
        <v>2</v>
      </c>
      <c r="D73" s="35"/>
      <c r="E73" s="36">
        <f t="shared" si="13"/>
        <v>2</v>
      </c>
      <c r="F73" s="34"/>
      <c r="G73" s="35"/>
      <c r="H73" s="39"/>
      <c r="I73" s="48"/>
      <c r="J73" s="40"/>
      <c r="K73" s="103"/>
      <c r="L73" s="48"/>
      <c r="M73" s="42" t="e">
        <f t="shared" si="14"/>
        <v>#DIV/0!</v>
      </c>
      <c r="N73" s="43" t="e">
        <f t="shared" si="14"/>
        <v>#DIV/0!</v>
      </c>
    </row>
    <row r="74" spans="1:14" x14ac:dyDescent="0.25">
      <c r="A74" s="32">
        <f>A73+1</f>
        <v>6</v>
      </c>
      <c r="B74" s="33" t="s">
        <v>67</v>
      </c>
      <c r="C74" s="34">
        <v>9</v>
      </c>
      <c r="D74" s="35">
        <v>2</v>
      </c>
      <c r="E74" s="36">
        <f t="shared" si="13"/>
        <v>11</v>
      </c>
      <c r="F74" s="34"/>
      <c r="G74" s="35"/>
      <c r="H74" s="39"/>
      <c r="J74" s="135">
        <v>330</v>
      </c>
      <c r="K74" s="136">
        <v>13341525.699421965</v>
      </c>
      <c r="L74"/>
      <c r="M74" s="65">
        <f>(G75+G76)/J74</f>
        <v>1.0151515151515151</v>
      </c>
      <c r="N74" s="66">
        <f>(H75+H76)/K74</f>
        <v>1.4092945907089638</v>
      </c>
    </row>
    <row r="75" spans="1:14" s="48" customFormat="1" x14ac:dyDescent="0.25">
      <c r="A75" s="51"/>
      <c r="B75" s="57" t="s">
        <v>68</v>
      </c>
      <c r="C75" s="53"/>
      <c r="D75" s="54"/>
      <c r="E75" s="55"/>
      <c r="F75" s="53"/>
      <c r="G75" s="54"/>
      <c r="H75" s="56"/>
      <c r="J75" s="40"/>
      <c r="K75" s="103"/>
      <c r="M75" s="49" t="e">
        <f>(G75+G76)/J75</f>
        <v>#DIV/0!</v>
      </c>
      <c r="N75" s="50" t="e">
        <f>(H75+H76)/K75</f>
        <v>#DIV/0!</v>
      </c>
    </row>
    <row r="76" spans="1:14" x14ac:dyDescent="0.25">
      <c r="A76" s="32"/>
      <c r="B76" s="57" t="s">
        <v>69</v>
      </c>
      <c r="C76" s="34"/>
      <c r="D76" s="35"/>
      <c r="E76" s="36"/>
      <c r="F76" s="34">
        <v>11</v>
      </c>
      <c r="G76" s="35">
        <v>335</v>
      </c>
      <c r="H76" s="39">
        <v>18802140</v>
      </c>
      <c r="J76" s="40"/>
      <c r="K76" s="103"/>
      <c r="L76"/>
      <c r="M76" s="42"/>
      <c r="N76" s="43"/>
    </row>
    <row r="77" spans="1:14" x14ac:dyDescent="0.25">
      <c r="A77" s="32">
        <v>7</v>
      </c>
      <c r="B77" s="33" t="s">
        <v>70</v>
      </c>
      <c r="C77" s="34"/>
      <c r="D77" s="35"/>
      <c r="E77" s="36">
        <f>C77+D77</f>
        <v>0</v>
      </c>
      <c r="F77" s="34"/>
      <c r="G77" s="35"/>
      <c r="H77" s="39"/>
      <c r="J77" s="40"/>
      <c r="K77" s="103"/>
      <c r="L77"/>
      <c r="M77" s="109" t="e">
        <f>(G77+G81)/J77</f>
        <v>#DIV/0!</v>
      </c>
      <c r="N77" s="66" t="e">
        <f>(H77+H81)/K77</f>
        <v>#DIV/0!</v>
      </c>
    </row>
    <row r="78" spans="1:14" x14ac:dyDescent="0.25">
      <c r="A78" s="32">
        <f>A77+1</f>
        <v>8</v>
      </c>
      <c r="B78" s="33" t="s">
        <v>71</v>
      </c>
      <c r="C78" s="34">
        <v>3</v>
      </c>
      <c r="D78" s="35"/>
      <c r="E78" s="36">
        <f>C78+D78</f>
        <v>3</v>
      </c>
      <c r="F78" s="34"/>
      <c r="G78" s="35"/>
      <c r="H78" s="39"/>
      <c r="J78" s="112"/>
      <c r="K78" s="113"/>
      <c r="L78"/>
      <c r="M78" s="42" t="e">
        <f>G78/J78</f>
        <v>#DIV/0!</v>
      </c>
      <c r="N78" s="43" t="e">
        <f>H78/K78</f>
        <v>#DIV/0!</v>
      </c>
    </row>
    <row r="79" spans="1:14" x14ac:dyDescent="0.25">
      <c r="A79" s="32">
        <f>A78+1</f>
        <v>9</v>
      </c>
      <c r="B79" s="33" t="s">
        <v>72</v>
      </c>
      <c r="C79" s="34">
        <v>3</v>
      </c>
      <c r="D79" s="35">
        <v>2</v>
      </c>
      <c r="E79" s="36">
        <f>C79+D79</f>
        <v>5</v>
      </c>
      <c r="F79" s="34"/>
      <c r="G79" s="35"/>
      <c r="H79" s="39"/>
      <c r="J79" s="112">
        <v>35</v>
      </c>
      <c r="K79" s="113">
        <v>1745620.1849710983</v>
      </c>
      <c r="L79"/>
      <c r="M79" s="153">
        <f>(G78+G79)/J79</f>
        <v>0</v>
      </c>
      <c r="N79" s="50">
        <f>(H78+H79)/K79</f>
        <v>0</v>
      </c>
    </row>
    <row r="80" spans="1:14" s="48" customFormat="1" x14ac:dyDescent="0.25">
      <c r="A80" s="51">
        <f>A79+1</f>
        <v>10</v>
      </c>
      <c r="B80" s="154" t="s">
        <v>73</v>
      </c>
      <c r="C80" s="53">
        <v>6</v>
      </c>
      <c r="D80" s="54">
        <v>1</v>
      </c>
      <c r="E80" s="55">
        <f>C80+D80</f>
        <v>7</v>
      </c>
      <c r="F80" s="53"/>
      <c r="G80" s="54"/>
      <c r="H80" s="56"/>
      <c r="J80" s="112">
        <v>528</v>
      </c>
      <c r="K80" s="113">
        <v>20198726.289017342</v>
      </c>
      <c r="M80" s="155">
        <f>(G81+G82)/J80</f>
        <v>0.58238636363636365</v>
      </c>
      <c r="N80" s="66">
        <f>(H81+H82)/K80</f>
        <v>0.72681368235235322</v>
      </c>
    </row>
    <row r="81" spans="1:32" s="48" customFormat="1" x14ac:dyDescent="0.25">
      <c r="A81" s="51"/>
      <c r="B81" s="154" t="s">
        <v>74</v>
      </c>
      <c r="C81" s="53"/>
      <c r="D81" s="54"/>
      <c r="E81" s="55">
        <f>C81+D81</f>
        <v>0</v>
      </c>
      <c r="F81" s="53">
        <v>6</v>
      </c>
      <c r="G81" s="251">
        <v>277.5</v>
      </c>
      <c r="H81" s="56">
        <v>13879267.789017342</v>
      </c>
      <c r="J81" s="112"/>
      <c r="K81" s="113"/>
      <c r="M81" s="109"/>
      <c r="N81" s="66"/>
    </row>
    <row r="82" spans="1:32" s="48" customFormat="1" x14ac:dyDescent="0.25">
      <c r="A82" s="51"/>
      <c r="B82" s="156" t="s">
        <v>75</v>
      </c>
      <c r="C82" s="157"/>
      <c r="D82" s="158"/>
      <c r="E82" s="55"/>
      <c r="F82" s="53">
        <v>1</v>
      </c>
      <c r="G82" s="54">
        <v>30</v>
      </c>
      <c r="H82" s="56">
        <v>801442.84393063583</v>
      </c>
      <c r="J82" s="112"/>
      <c r="K82" s="113"/>
      <c r="M82" s="109"/>
      <c r="N82" s="66"/>
    </row>
    <row r="83" spans="1:32" x14ac:dyDescent="0.25">
      <c r="A83" s="32">
        <f>A80+1</f>
        <v>11</v>
      </c>
      <c r="B83" s="33" t="s">
        <v>76</v>
      </c>
      <c r="C83" s="53"/>
      <c r="D83" s="54"/>
      <c r="E83" s="36">
        <f>C83+D83</f>
        <v>0</v>
      </c>
      <c r="F83" s="34"/>
      <c r="G83" s="35"/>
      <c r="H83" s="35"/>
      <c r="J83" s="112"/>
      <c r="K83" s="113"/>
      <c r="L83"/>
      <c r="M83" s="42" t="e">
        <f>G83/J83</f>
        <v>#DIV/0!</v>
      </c>
      <c r="N83" s="43" t="e">
        <f>H83/K83</f>
        <v>#DIV/0!</v>
      </c>
    </row>
    <row r="84" spans="1:32" ht="15.75" thickBot="1" x14ac:dyDescent="0.3">
      <c r="A84" s="159"/>
      <c r="B84" s="76"/>
      <c r="C84" s="45"/>
      <c r="D84" s="46"/>
      <c r="E84" s="77"/>
      <c r="F84" s="78"/>
      <c r="G84" s="114"/>
      <c r="H84" s="80"/>
      <c r="J84" s="137"/>
      <c r="K84" s="116"/>
      <c r="L84"/>
      <c r="M84" s="83"/>
      <c r="N84" s="117"/>
    </row>
    <row r="85" spans="1:32" ht="15.75" thickBot="1" x14ac:dyDescent="0.3">
      <c r="A85" s="160"/>
      <c r="B85" s="161" t="s">
        <v>77</v>
      </c>
      <c r="C85" s="162">
        <f t="shared" ref="C85:H85" si="15">SUM(C68:C83)</f>
        <v>40</v>
      </c>
      <c r="D85" s="163">
        <f t="shared" si="15"/>
        <v>10</v>
      </c>
      <c r="E85" s="164">
        <f t="shared" si="15"/>
        <v>50</v>
      </c>
      <c r="F85" s="165">
        <f t="shared" si="15"/>
        <v>25</v>
      </c>
      <c r="G85" s="252">
        <f t="shared" si="15"/>
        <v>698</v>
      </c>
      <c r="H85" s="167">
        <f t="shared" si="15"/>
        <v>36591480.132947981</v>
      </c>
      <c r="J85" s="169">
        <f>SUM(J68:J84)</f>
        <v>984</v>
      </c>
      <c r="K85" s="170">
        <f>SUM(K68:K84)</f>
        <v>40169301.028901733</v>
      </c>
      <c r="L85"/>
      <c r="M85" s="171">
        <f>G85/J85</f>
        <v>0.70934959349593496</v>
      </c>
      <c r="N85" s="172">
        <f>H85/K85</f>
        <v>0.9109314624772904</v>
      </c>
    </row>
    <row r="86" spans="1:32" x14ac:dyDescent="0.25">
      <c r="A86" s="173"/>
      <c r="B86" s="98"/>
      <c r="C86" s="62"/>
      <c r="D86" s="63"/>
      <c r="E86" s="100"/>
      <c r="F86" s="99"/>
      <c r="G86" s="132"/>
      <c r="H86" s="174"/>
      <c r="J86" s="175"/>
      <c r="K86" s="176"/>
      <c r="L86"/>
      <c r="M86" s="177"/>
      <c r="N86" s="178"/>
    </row>
    <row r="87" spans="1:32" x14ac:dyDescent="0.25">
      <c r="A87" s="179"/>
      <c r="B87" s="102"/>
      <c r="C87" s="180"/>
      <c r="D87" s="181"/>
      <c r="E87" s="182"/>
      <c r="F87" s="151"/>
      <c r="G87" s="183"/>
      <c r="H87" s="184"/>
      <c r="J87" s="99"/>
      <c r="K87" s="174"/>
      <c r="L87"/>
      <c r="M87" s="177"/>
      <c r="N87" s="178"/>
    </row>
    <row r="88" spans="1:32" x14ac:dyDescent="0.25">
      <c r="A88" s="179"/>
      <c r="B88" s="185"/>
      <c r="C88" s="34"/>
      <c r="D88" s="35"/>
      <c r="E88" s="39"/>
      <c r="F88" s="133"/>
      <c r="G88" s="134"/>
      <c r="H88" s="152"/>
      <c r="J88" s="186"/>
      <c r="K88" s="152"/>
      <c r="L88"/>
      <c r="M88" s="42"/>
      <c r="N88" s="43"/>
    </row>
    <row r="89" spans="1:32" ht="15.75" thickBot="1" x14ac:dyDescent="0.3">
      <c r="A89" s="187"/>
      <c r="B89" s="188"/>
      <c r="C89" s="189"/>
      <c r="D89" s="190"/>
      <c r="E89" s="191"/>
      <c r="F89" s="192"/>
      <c r="G89" s="193"/>
      <c r="H89" s="191"/>
      <c r="J89" s="194"/>
      <c r="K89" s="195"/>
      <c r="L89"/>
      <c r="M89" s="196"/>
      <c r="N89" s="197"/>
    </row>
    <row r="90" spans="1:32" ht="15.75" thickBot="1" x14ac:dyDescent="0.3">
      <c r="A90" s="198"/>
      <c r="B90" s="199" t="s">
        <v>78</v>
      </c>
      <c r="C90" s="200">
        <f t="shared" ref="C90:G90" si="16">C85+C65+C53+C42</f>
        <v>303</v>
      </c>
      <c r="D90" s="200">
        <f t="shared" si="16"/>
        <v>137</v>
      </c>
      <c r="E90" s="200">
        <f t="shared" si="16"/>
        <v>439</v>
      </c>
      <c r="F90" s="200">
        <f>F85+F65+F53+F42</f>
        <v>199</v>
      </c>
      <c r="G90" s="200">
        <f t="shared" si="16"/>
        <v>3322.5</v>
      </c>
      <c r="H90" s="200">
        <f>H85+H65+H53+H42</f>
        <v>168685158.63294798</v>
      </c>
      <c r="J90" s="200">
        <f>J85+J65+J53+J42</f>
        <v>3871</v>
      </c>
      <c r="K90" s="200">
        <f>K85+K65+K53+K42</f>
        <v>176053872.22543353</v>
      </c>
      <c r="L90"/>
      <c r="M90" s="202">
        <f>G90/J90</f>
        <v>0.85830534745543785</v>
      </c>
      <c r="N90" s="203">
        <f>H90/K90</f>
        <v>0.95814512058530554</v>
      </c>
    </row>
    <row r="91" spans="1:32" x14ac:dyDescent="0.25">
      <c r="G91" s="204"/>
      <c r="H91" s="204"/>
      <c r="J91" s="110"/>
      <c r="K91" s="111"/>
      <c r="M91" s="205"/>
      <c r="N91" s="206"/>
      <c r="P91" s="110"/>
      <c r="Q91" s="111"/>
      <c r="S91" s="110"/>
      <c r="T91" s="111"/>
      <c r="V91" s="110"/>
      <c r="W91" s="111"/>
      <c r="Y91" s="111"/>
      <c r="Z91" s="111"/>
      <c r="AB91" s="110"/>
      <c r="AC91" s="110"/>
      <c r="AE91" s="207"/>
      <c r="AF91" s="207"/>
    </row>
    <row r="92" spans="1:32" x14ac:dyDescent="0.25">
      <c r="C92" s="208"/>
      <c r="D92" s="209"/>
      <c r="E92" s="209"/>
      <c r="G92" s="204"/>
      <c r="H92" s="204"/>
      <c r="J92" s="204"/>
      <c r="K92" s="204"/>
      <c r="M92" s="204"/>
      <c r="N92" s="204"/>
      <c r="P92" s="204"/>
      <c r="Q92" s="110"/>
      <c r="S92" s="204"/>
      <c r="T92" s="110"/>
      <c r="V92" s="110"/>
      <c r="W92" s="110"/>
      <c r="Y92" s="110"/>
      <c r="Z92" s="110"/>
      <c r="AB92" s="110"/>
      <c r="AC92" s="110"/>
      <c r="AE92" s="207"/>
      <c r="AF92" s="207"/>
    </row>
    <row r="93" spans="1:32" ht="15.75" thickBot="1" x14ac:dyDescent="0.3">
      <c r="B93" s="210"/>
      <c r="C93" s="208"/>
      <c r="D93" s="209"/>
      <c r="E93" s="209"/>
      <c r="F93" s="211"/>
      <c r="G93" s="209"/>
      <c r="H93" s="209"/>
      <c r="K93" s="110"/>
      <c r="X93" s="111"/>
      <c r="Y93" s="111"/>
      <c r="Z93" s="111"/>
      <c r="AE93" s="207"/>
      <c r="AF93" s="207"/>
    </row>
    <row r="94" spans="1:32" ht="30.75" thickBot="1" x14ac:dyDescent="0.3">
      <c r="B94" s="210"/>
      <c r="C94" s="212" t="s">
        <v>79</v>
      </c>
      <c r="D94" s="213"/>
      <c r="E94" s="213"/>
      <c r="F94" s="243"/>
      <c r="G94" s="214" t="s">
        <v>80</v>
      </c>
      <c r="H94" s="215" t="s">
        <v>81</v>
      </c>
      <c r="J94" s="330" t="str">
        <f>J5</f>
        <v>BUDGET APRIL</v>
      </c>
      <c r="K94" s="331"/>
      <c r="L94"/>
      <c r="M94" s="332" t="s">
        <v>5</v>
      </c>
      <c r="N94" s="333"/>
    </row>
    <row r="95" spans="1:32" x14ac:dyDescent="0.25">
      <c r="B95" s="209"/>
      <c r="C95" s="216" t="s">
        <v>82</v>
      </c>
      <c r="D95" s="217"/>
      <c r="E95" s="217"/>
      <c r="F95" s="244"/>
      <c r="G95" s="218">
        <f>G42+G53</f>
        <v>2271.5</v>
      </c>
      <c r="H95" s="218">
        <f>H42+H53</f>
        <v>114507577.5</v>
      </c>
      <c r="J95" s="219">
        <f>J42+J53</f>
        <v>1819</v>
      </c>
      <c r="K95" s="219">
        <f>K42+K53</f>
        <v>91075348.196531802</v>
      </c>
      <c r="L95"/>
      <c r="M95" s="220">
        <f t="shared" ref="M95:N98" si="17">G95/J95</f>
        <v>1.2487630566245189</v>
      </c>
      <c r="N95" s="221">
        <f t="shared" si="17"/>
        <v>1.2572839936104743</v>
      </c>
    </row>
    <row r="96" spans="1:32" x14ac:dyDescent="0.25">
      <c r="B96" s="209"/>
      <c r="C96" s="216" t="s">
        <v>83</v>
      </c>
      <c r="D96" s="217"/>
      <c r="E96" s="217"/>
      <c r="F96" s="244"/>
      <c r="G96" s="222">
        <f>G65</f>
        <v>353</v>
      </c>
      <c r="H96" s="223">
        <f>H65</f>
        <v>17586101</v>
      </c>
      <c r="J96" s="224">
        <f>J65</f>
        <v>1068</v>
      </c>
      <c r="K96" s="224">
        <f>K65</f>
        <v>44809222.999999993</v>
      </c>
      <c r="L96"/>
      <c r="M96" s="225">
        <f t="shared" si="17"/>
        <v>0.33052434456928836</v>
      </c>
      <c r="N96" s="226">
        <f t="shared" si="17"/>
        <v>0.39246610011514821</v>
      </c>
    </row>
    <row r="97" spans="2:29" ht="15.75" thickBot="1" x14ac:dyDescent="0.3">
      <c r="B97" s="209"/>
      <c r="C97" s="216" t="s">
        <v>84</v>
      </c>
      <c r="D97" s="217"/>
      <c r="E97" s="217"/>
      <c r="F97" s="244"/>
      <c r="G97" s="227">
        <f>G85</f>
        <v>698</v>
      </c>
      <c r="H97" s="228">
        <f>H85</f>
        <v>36591480.132947981</v>
      </c>
      <c r="J97" s="229">
        <f>J85</f>
        <v>984</v>
      </c>
      <c r="K97" s="230">
        <f>K85</f>
        <v>40169301.028901733</v>
      </c>
      <c r="L97"/>
      <c r="M97" s="231">
        <f t="shared" si="17"/>
        <v>0.70934959349593496</v>
      </c>
      <c r="N97" s="232">
        <f t="shared" si="17"/>
        <v>0.9109314624772904</v>
      </c>
    </row>
    <row r="98" spans="2:29" ht="15.75" thickBot="1" x14ac:dyDescent="0.3">
      <c r="C98" s="233" t="s">
        <v>78</v>
      </c>
      <c r="D98" s="234"/>
      <c r="E98" s="234"/>
      <c r="F98" s="245"/>
      <c r="G98" s="235">
        <f>SUM(G95:G97)</f>
        <v>3322.5</v>
      </c>
      <c r="H98" s="236">
        <f>SUM(H95:H97)</f>
        <v>168685158.63294798</v>
      </c>
      <c r="J98" s="237">
        <f>SUM(J95:J97)</f>
        <v>3871</v>
      </c>
      <c r="K98" s="238">
        <f>SUM(K95:K97)</f>
        <v>176053872.22543353</v>
      </c>
      <c r="L98"/>
      <c r="M98" s="239">
        <f t="shared" si="17"/>
        <v>0.85830534745543785</v>
      </c>
      <c r="N98" s="240">
        <f t="shared" si="17"/>
        <v>0.95814512058530554</v>
      </c>
    </row>
    <row r="99" spans="2:29" x14ac:dyDescent="0.25">
      <c r="C99" s="208"/>
      <c r="D99" s="209"/>
      <c r="E99" s="209"/>
      <c r="F99" s="209"/>
      <c r="G99" s="209"/>
      <c r="H99" s="4"/>
      <c r="I99" s="4"/>
      <c r="J99" s="4"/>
      <c r="K99" s="4"/>
      <c r="N99"/>
      <c r="Q99" s="209"/>
      <c r="R99" s="209"/>
      <c r="S99" s="209"/>
      <c r="T99" s="209"/>
      <c r="U99" s="209"/>
      <c r="V99" s="209"/>
      <c r="W99" s="209"/>
      <c r="X99" s="241"/>
      <c r="Y99" s="241"/>
      <c r="Z99" s="241"/>
      <c r="AA99" s="241"/>
      <c r="AB99" s="241"/>
    </row>
    <row r="100" spans="2:29" x14ac:dyDescent="0.25">
      <c r="AB100" s="242"/>
      <c r="AC100" s="242"/>
    </row>
    <row r="102" spans="2:29" x14ac:dyDescent="0.25">
      <c r="B102" s="47"/>
    </row>
    <row r="103" spans="2:29" x14ac:dyDescent="0.25">
      <c r="B103" s="47"/>
    </row>
    <row r="104" spans="2:29" x14ac:dyDescent="0.25">
      <c r="B104" s="47"/>
    </row>
    <row r="105" spans="2:29" x14ac:dyDescent="0.25">
      <c r="B105" s="47"/>
    </row>
  </sheetData>
  <mergeCells count="6">
    <mergeCell ref="J94:K94"/>
    <mergeCell ref="M94:N94"/>
    <mergeCell ref="C5:E5"/>
    <mergeCell ref="F5:H5"/>
    <mergeCell ref="J5:K5"/>
    <mergeCell ref="M5:N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05"/>
  <sheetViews>
    <sheetView topLeftCell="A82" workbookViewId="0">
      <selection activeCell="M95" sqref="M95"/>
    </sheetView>
  </sheetViews>
  <sheetFormatPr defaultRowHeight="15" x14ac:dyDescent="0.25"/>
  <cols>
    <col min="1" max="1" width="7.140625" customWidth="1"/>
    <col min="2" max="2" width="39.42578125" customWidth="1"/>
    <col min="3" max="3" width="6.7109375" customWidth="1"/>
    <col min="4" max="4" width="5.7109375" customWidth="1"/>
    <col min="5" max="5" width="5.85546875" customWidth="1"/>
    <col min="6" max="6" width="7.85546875" customWidth="1"/>
    <col min="7" max="7" width="14.28515625" customWidth="1"/>
    <col min="8" max="8" width="14" customWidth="1"/>
    <col min="9" max="9" width="1.85546875" customWidth="1"/>
    <col min="10" max="10" width="9.140625" customWidth="1"/>
    <col min="11" max="11" width="12.42578125" bestFit="1" customWidth="1"/>
    <col min="12" max="12" width="1.42578125" style="4" customWidth="1"/>
    <col min="13" max="14" width="9.140625" style="4" customWidth="1"/>
    <col min="15" max="23" width="9.140625" customWidth="1"/>
    <col min="24" max="24" width="11.5703125" customWidth="1"/>
    <col min="25" max="25" width="11.85546875" customWidth="1"/>
    <col min="26" max="26" width="15.7109375" customWidth="1"/>
    <col min="27" max="27" width="1.5703125" customWidth="1"/>
    <col min="28" max="28" width="10.5703125" customWidth="1"/>
    <col min="29" max="29" width="20.7109375" customWidth="1"/>
    <col min="30" max="30" width="2" customWidth="1"/>
    <col min="31" max="31" width="10.140625" customWidth="1"/>
    <col min="32" max="32" width="13.7109375" customWidth="1"/>
    <col min="33" max="33" width="16.5703125" customWidth="1"/>
    <col min="34" max="34" width="16" customWidth="1"/>
    <col min="35" max="244" width="9.42578125" customWidth="1"/>
    <col min="245" max="245" width="7.140625" customWidth="1"/>
    <col min="246" max="246" width="35.28515625" customWidth="1"/>
    <col min="247" max="247" width="6.7109375" customWidth="1"/>
    <col min="248" max="248" width="5.7109375" customWidth="1"/>
    <col min="249" max="249" width="5.85546875" customWidth="1"/>
    <col min="250" max="250" width="7.85546875" customWidth="1"/>
    <col min="257" max="257" width="7.140625" customWidth="1"/>
    <col min="258" max="258" width="39.42578125" customWidth="1"/>
    <col min="259" max="259" width="6.7109375" customWidth="1"/>
    <col min="260" max="260" width="5.7109375" customWidth="1"/>
    <col min="261" max="261" width="5.85546875" customWidth="1"/>
    <col min="262" max="262" width="7.85546875" customWidth="1"/>
    <col min="263" max="263" width="14.28515625" customWidth="1"/>
    <col min="264" max="264" width="14" customWidth="1"/>
    <col min="265" max="279" width="0" hidden="1" customWidth="1"/>
    <col min="280" max="280" width="11.5703125" customWidth="1"/>
    <col min="281" max="281" width="11.85546875" customWidth="1"/>
    <col min="282" max="282" width="15.7109375" customWidth="1"/>
    <col min="283" max="283" width="1.5703125" customWidth="1"/>
    <col min="284" max="284" width="10.5703125" customWidth="1"/>
    <col min="285" max="285" width="20.7109375" customWidth="1"/>
    <col min="286" max="286" width="2" customWidth="1"/>
    <col min="287" max="287" width="10.140625" customWidth="1"/>
    <col min="288" max="288" width="13.7109375" customWidth="1"/>
    <col min="289" max="289" width="16.5703125" customWidth="1"/>
    <col min="290" max="290" width="16" customWidth="1"/>
    <col min="291" max="500" width="9.42578125" customWidth="1"/>
    <col min="501" max="501" width="7.140625" customWidth="1"/>
    <col min="502" max="502" width="35.28515625" customWidth="1"/>
    <col min="503" max="503" width="6.7109375" customWidth="1"/>
    <col min="504" max="504" width="5.7109375" customWidth="1"/>
    <col min="505" max="505" width="5.85546875" customWidth="1"/>
    <col min="506" max="506" width="7.85546875" customWidth="1"/>
    <col min="513" max="513" width="7.140625" customWidth="1"/>
    <col min="514" max="514" width="39.42578125" customWidth="1"/>
    <col min="515" max="515" width="6.7109375" customWidth="1"/>
    <col min="516" max="516" width="5.7109375" customWidth="1"/>
    <col min="517" max="517" width="5.85546875" customWidth="1"/>
    <col min="518" max="518" width="7.85546875" customWidth="1"/>
    <col min="519" max="519" width="14.28515625" customWidth="1"/>
    <col min="520" max="520" width="14" customWidth="1"/>
    <col min="521" max="535" width="0" hidden="1" customWidth="1"/>
    <col min="536" max="536" width="11.5703125" customWidth="1"/>
    <col min="537" max="537" width="11.85546875" customWidth="1"/>
    <col min="538" max="538" width="15.7109375" customWidth="1"/>
    <col min="539" max="539" width="1.5703125" customWidth="1"/>
    <col min="540" max="540" width="10.5703125" customWidth="1"/>
    <col min="541" max="541" width="20.7109375" customWidth="1"/>
    <col min="542" max="542" width="2" customWidth="1"/>
    <col min="543" max="543" width="10.140625" customWidth="1"/>
    <col min="544" max="544" width="13.7109375" customWidth="1"/>
    <col min="545" max="545" width="16.5703125" customWidth="1"/>
    <col min="546" max="546" width="16" customWidth="1"/>
    <col min="547" max="756" width="9.42578125" customWidth="1"/>
    <col min="757" max="757" width="7.140625" customWidth="1"/>
    <col min="758" max="758" width="35.28515625" customWidth="1"/>
    <col min="759" max="759" width="6.7109375" customWidth="1"/>
    <col min="760" max="760" width="5.7109375" customWidth="1"/>
    <col min="761" max="761" width="5.85546875" customWidth="1"/>
    <col min="762" max="762" width="7.85546875" customWidth="1"/>
    <col min="769" max="769" width="7.140625" customWidth="1"/>
    <col min="770" max="770" width="39.42578125" customWidth="1"/>
    <col min="771" max="771" width="6.7109375" customWidth="1"/>
    <col min="772" max="772" width="5.7109375" customWidth="1"/>
    <col min="773" max="773" width="5.85546875" customWidth="1"/>
    <col min="774" max="774" width="7.85546875" customWidth="1"/>
    <col min="775" max="775" width="14.28515625" customWidth="1"/>
    <col min="776" max="776" width="14" customWidth="1"/>
    <col min="777" max="791" width="0" hidden="1" customWidth="1"/>
    <col min="792" max="792" width="11.5703125" customWidth="1"/>
    <col min="793" max="793" width="11.85546875" customWidth="1"/>
    <col min="794" max="794" width="15.7109375" customWidth="1"/>
    <col min="795" max="795" width="1.5703125" customWidth="1"/>
    <col min="796" max="796" width="10.5703125" customWidth="1"/>
    <col min="797" max="797" width="20.7109375" customWidth="1"/>
    <col min="798" max="798" width="2" customWidth="1"/>
    <col min="799" max="799" width="10.140625" customWidth="1"/>
    <col min="800" max="800" width="13.7109375" customWidth="1"/>
    <col min="801" max="801" width="16.5703125" customWidth="1"/>
    <col min="802" max="802" width="16" customWidth="1"/>
    <col min="803" max="1012" width="9.42578125" customWidth="1"/>
    <col min="1013" max="1013" width="7.140625" customWidth="1"/>
    <col min="1014" max="1014" width="35.28515625" customWidth="1"/>
    <col min="1015" max="1015" width="6.7109375" customWidth="1"/>
    <col min="1016" max="1016" width="5.7109375" customWidth="1"/>
    <col min="1017" max="1017" width="5.85546875" customWidth="1"/>
    <col min="1018" max="1018" width="7.85546875" customWidth="1"/>
    <col min="1025" max="1025" width="7.140625" customWidth="1"/>
    <col min="1026" max="1026" width="39.42578125" customWidth="1"/>
    <col min="1027" max="1027" width="6.7109375" customWidth="1"/>
    <col min="1028" max="1028" width="5.7109375" customWidth="1"/>
    <col min="1029" max="1029" width="5.85546875" customWidth="1"/>
    <col min="1030" max="1030" width="7.85546875" customWidth="1"/>
    <col min="1031" max="1031" width="14.28515625" customWidth="1"/>
    <col min="1032" max="1032" width="14" customWidth="1"/>
    <col min="1033" max="1047" width="0" hidden="1" customWidth="1"/>
    <col min="1048" max="1048" width="11.5703125" customWidth="1"/>
    <col min="1049" max="1049" width="11.85546875" customWidth="1"/>
    <col min="1050" max="1050" width="15.7109375" customWidth="1"/>
    <col min="1051" max="1051" width="1.5703125" customWidth="1"/>
    <col min="1052" max="1052" width="10.5703125" customWidth="1"/>
    <col min="1053" max="1053" width="20.7109375" customWidth="1"/>
    <col min="1054" max="1054" width="2" customWidth="1"/>
    <col min="1055" max="1055" width="10.140625" customWidth="1"/>
    <col min="1056" max="1056" width="13.7109375" customWidth="1"/>
    <col min="1057" max="1057" width="16.5703125" customWidth="1"/>
    <col min="1058" max="1058" width="16" customWidth="1"/>
    <col min="1059" max="1268" width="9.42578125" customWidth="1"/>
    <col min="1269" max="1269" width="7.140625" customWidth="1"/>
    <col min="1270" max="1270" width="35.28515625" customWidth="1"/>
    <col min="1271" max="1271" width="6.7109375" customWidth="1"/>
    <col min="1272" max="1272" width="5.7109375" customWidth="1"/>
    <col min="1273" max="1273" width="5.85546875" customWidth="1"/>
    <col min="1274" max="1274" width="7.85546875" customWidth="1"/>
    <col min="1281" max="1281" width="7.140625" customWidth="1"/>
    <col min="1282" max="1282" width="39.42578125" customWidth="1"/>
    <col min="1283" max="1283" width="6.7109375" customWidth="1"/>
    <col min="1284" max="1284" width="5.7109375" customWidth="1"/>
    <col min="1285" max="1285" width="5.85546875" customWidth="1"/>
    <col min="1286" max="1286" width="7.85546875" customWidth="1"/>
    <col min="1287" max="1287" width="14.28515625" customWidth="1"/>
    <col min="1288" max="1288" width="14" customWidth="1"/>
    <col min="1289" max="1303" width="0" hidden="1" customWidth="1"/>
    <col min="1304" max="1304" width="11.5703125" customWidth="1"/>
    <col min="1305" max="1305" width="11.85546875" customWidth="1"/>
    <col min="1306" max="1306" width="15.7109375" customWidth="1"/>
    <col min="1307" max="1307" width="1.5703125" customWidth="1"/>
    <col min="1308" max="1308" width="10.5703125" customWidth="1"/>
    <col min="1309" max="1309" width="20.7109375" customWidth="1"/>
    <col min="1310" max="1310" width="2" customWidth="1"/>
    <col min="1311" max="1311" width="10.140625" customWidth="1"/>
    <col min="1312" max="1312" width="13.7109375" customWidth="1"/>
    <col min="1313" max="1313" width="16.5703125" customWidth="1"/>
    <col min="1314" max="1314" width="16" customWidth="1"/>
    <col min="1315" max="1524" width="9.42578125" customWidth="1"/>
    <col min="1525" max="1525" width="7.140625" customWidth="1"/>
    <col min="1526" max="1526" width="35.28515625" customWidth="1"/>
    <col min="1527" max="1527" width="6.7109375" customWidth="1"/>
    <col min="1528" max="1528" width="5.7109375" customWidth="1"/>
    <col min="1529" max="1529" width="5.85546875" customWidth="1"/>
    <col min="1530" max="1530" width="7.85546875" customWidth="1"/>
    <col min="1537" max="1537" width="7.140625" customWidth="1"/>
    <col min="1538" max="1538" width="39.42578125" customWidth="1"/>
    <col min="1539" max="1539" width="6.7109375" customWidth="1"/>
    <col min="1540" max="1540" width="5.7109375" customWidth="1"/>
    <col min="1541" max="1541" width="5.85546875" customWidth="1"/>
    <col min="1542" max="1542" width="7.85546875" customWidth="1"/>
    <col min="1543" max="1543" width="14.28515625" customWidth="1"/>
    <col min="1544" max="1544" width="14" customWidth="1"/>
    <col min="1545" max="1559" width="0" hidden="1" customWidth="1"/>
    <col min="1560" max="1560" width="11.5703125" customWidth="1"/>
    <col min="1561" max="1561" width="11.85546875" customWidth="1"/>
    <col min="1562" max="1562" width="15.7109375" customWidth="1"/>
    <col min="1563" max="1563" width="1.5703125" customWidth="1"/>
    <col min="1564" max="1564" width="10.5703125" customWidth="1"/>
    <col min="1565" max="1565" width="20.7109375" customWidth="1"/>
    <col min="1566" max="1566" width="2" customWidth="1"/>
    <col min="1567" max="1567" width="10.140625" customWidth="1"/>
    <col min="1568" max="1568" width="13.7109375" customWidth="1"/>
    <col min="1569" max="1569" width="16.5703125" customWidth="1"/>
    <col min="1570" max="1570" width="16" customWidth="1"/>
    <col min="1571" max="1780" width="9.42578125" customWidth="1"/>
    <col min="1781" max="1781" width="7.140625" customWidth="1"/>
    <col min="1782" max="1782" width="35.28515625" customWidth="1"/>
    <col min="1783" max="1783" width="6.7109375" customWidth="1"/>
    <col min="1784" max="1784" width="5.7109375" customWidth="1"/>
    <col min="1785" max="1785" width="5.85546875" customWidth="1"/>
    <col min="1786" max="1786" width="7.85546875" customWidth="1"/>
    <col min="1793" max="1793" width="7.140625" customWidth="1"/>
    <col min="1794" max="1794" width="39.42578125" customWidth="1"/>
    <col min="1795" max="1795" width="6.7109375" customWidth="1"/>
    <col min="1796" max="1796" width="5.7109375" customWidth="1"/>
    <col min="1797" max="1797" width="5.85546875" customWidth="1"/>
    <col min="1798" max="1798" width="7.85546875" customWidth="1"/>
    <col min="1799" max="1799" width="14.28515625" customWidth="1"/>
    <col min="1800" max="1800" width="14" customWidth="1"/>
    <col min="1801" max="1815" width="0" hidden="1" customWidth="1"/>
    <col min="1816" max="1816" width="11.5703125" customWidth="1"/>
    <col min="1817" max="1817" width="11.85546875" customWidth="1"/>
    <col min="1818" max="1818" width="15.7109375" customWidth="1"/>
    <col min="1819" max="1819" width="1.5703125" customWidth="1"/>
    <col min="1820" max="1820" width="10.5703125" customWidth="1"/>
    <col min="1821" max="1821" width="20.7109375" customWidth="1"/>
    <col min="1822" max="1822" width="2" customWidth="1"/>
    <col min="1823" max="1823" width="10.140625" customWidth="1"/>
    <col min="1824" max="1824" width="13.7109375" customWidth="1"/>
    <col min="1825" max="1825" width="16.5703125" customWidth="1"/>
    <col min="1826" max="1826" width="16" customWidth="1"/>
    <col min="1827" max="2036" width="9.42578125" customWidth="1"/>
    <col min="2037" max="2037" width="7.140625" customWidth="1"/>
    <col min="2038" max="2038" width="35.28515625" customWidth="1"/>
    <col min="2039" max="2039" width="6.7109375" customWidth="1"/>
    <col min="2040" max="2040" width="5.7109375" customWidth="1"/>
    <col min="2041" max="2041" width="5.85546875" customWidth="1"/>
    <col min="2042" max="2042" width="7.85546875" customWidth="1"/>
    <col min="2049" max="2049" width="7.140625" customWidth="1"/>
    <col min="2050" max="2050" width="39.42578125" customWidth="1"/>
    <col min="2051" max="2051" width="6.7109375" customWidth="1"/>
    <col min="2052" max="2052" width="5.7109375" customWidth="1"/>
    <col min="2053" max="2053" width="5.85546875" customWidth="1"/>
    <col min="2054" max="2054" width="7.85546875" customWidth="1"/>
    <col min="2055" max="2055" width="14.28515625" customWidth="1"/>
    <col min="2056" max="2056" width="14" customWidth="1"/>
    <col min="2057" max="2071" width="0" hidden="1" customWidth="1"/>
    <col min="2072" max="2072" width="11.5703125" customWidth="1"/>
    <col min="2073" max="2073" width="11.85546875" customWidth="1"/>
    <col min="2074" max="2074" width="15.7109375" customWidth="1"/>
    <col min="2075" max="2075" width="1.5703125" customWidth="1"/>
    <col min="2076" max="2076" width="10.5703125" customWidth="1"/>
    <col min="2077" max="2077" width="20.7109375" customWidth="1"/>
    <col min="2078" max="2078" width="2" customWidth="1"/>
    <col min="2079" max="2079" width="10.140625" customWidth="1"/>
    <col min="2080" max="2080" width="13.7109375" customWidth="1"/>
    <col min="2081" max="2081" width="16.5703125" customWidth="1"/>
    <col min="2082" max="2082" width="16" customWidth="1"/>
    <col min="2083" max="2292" width="9.42578125" customWidth="1"/>
    <col min="2293" max="2293" width="7.140625" customWidth="1"/>
    <col min="2294" max="2294" width="35.28515625" customWidth="1"/>
    <col min="2295" max="2295" width="6.7109375" customWidth="1"/>
    <col min="2296" max="2296" width="5.7109375" customWidth="1"/>
    <col min="2297" max="2297" width="5.85546875" customWidth="1"/>
    <col min="2298" max="2298" width="7.85546875" customWidth="1"/>
    <col min="2305" max="2305" width="7.140625" customWidth="1"/>
    <col min="2306" max="2306" width="39.42578125" customWidth="1"/>
    <col min="2307" max="2307" width="6.7109375" customWidth="1"/>
    <col min="2308" max="2308" width="5.7109375" customWidth="1"/>
    <col min="2309" max="2309" width="5.85546875" customWidth="1"/>
    <col min="2310" max="2310" width="7.85546875" customWidth="1"/>
    <col min="2311" max="2311" width="14.28515625" customWidth="1"/>
    <col min="2312" max="2312" width="14" customWidth="1"/>
    <col min="2313" max="2327" width="0" hidden="1" customWidth="1"/>
    <col min="2328" max="2328" width="11.5703125" customWidth="1"/>
    <col min="2329" max="2329" width="11.85546875" customWidth="1"/>
    <col min="2330" max="2330" width="15.7109375" customWidth="1"/>
    <col min="2331" max="2331" width="1.5703125" customWidth="1"/>
    <col min="2332" max="2332" width="10.5703125" customWidth="1"/>
    <col min="2333" max="2333" width="20.7109375" customWidth="1"/>
    <col min="2334" max="2334" width="2" customWidth="1"/>
    <col min="2335" max="2335" width="10.140625" customWidth="1"/>
    <col min="2336" max="2336" width="13.7109375" customWidth="1"/>
    <col min="2337" max="2337" width="16.5703125" customWidth="1"/>
    <col min="2338" max="2338" width="16" customWidth="1"/>
    <col min="2339" max="2548" width="9.42578125" customWidth="1"/>
    <col min="2549" max="2549" width="7.140625" customWidth="1"/>
    <col min="2550" max="2550" width="35.28515625" customWidth="1"/>
    <col min="2551" max="2551" width="6.7109375" customWidth="1"/>
    <col min="2552" max="2552" width="5.7109375" customWidth="1"/>
    <col min="2553" max="2553" width="5.85546875" customWidth="1"/>
    <col min="2554" max="2554" width="7.85546875" customWidth="1"/>
    <col min="2561" max="2561" width="7.140625" customWidth="1"/>
    <col min="2562" max="2562" width="39.42578125" customWidth="1"/>
    <col min="2563" max="2563" width="6.7109375" customWidth="1"/>
    <col min="2564" max="2564" width="5.7109375" customWidth="1"/>
    <col min="2565" max="2565" width="5.85546875" customWidth="1"/>
    <col min="2566" max="2566" width="7.85546875" customWidth="1"/>
    <col min="2567" max="2567" width="14.28515625" customWidth="1"/>
    <col min="2568" max="2568" width="14" customWidth="1"/>
    <col min="2569" max="2583" width="0" hidden="1" customWidth="1"/>
    <col min="2584" max="2584" width="11.5703125" customWidth="1"/>
    <col min="2585" max="2585" width="11.85546875" customWidth="1"/>
    <col min="2586" max="2586" width="15.7109375" customWidth="1"/>
    <col min="2587" max="2587" width="1.5703125" customWidth="1"/>
    <col min="2588" max="2588" width="10.5703125" customWidth="1"/>
    <col min="2589" max="2589" width="20.7109375" customWidth="1"/>
    <col min="2590" max="2590" width="2" customWidth="1"/>
    <col min="2591" max="2591" width="10.140625" customWidth="1"/>
    <col min="2592" max="2592" width="13.7109375" customWidth="1"/>
    <col min="2593" max="2593" width="16.5703125" customWidth="1"/>
    <col min="2594" max="2594" width="16" customWidth="1"/>
    <col min="2595" max="2804" width="9.42578125" customWidth="1"/>
    <col min="2805" max="2805" width="7.140625" customWidth="1"/>
    <col min="2806" max="2806" width="35.28515625" customWidth="1"/>
    <col min="2807" max="2807" width="6.7109375" customWidth="1"/>
    <col min="2808" max="2808" width="5.7109375" customWidth="1"/>
    <col min="2809" max="2809" width="5.85546875" customWidth="1"/>
    <col min="2810" max="2810" width="7.85546875" customWidth="1"/>
    <col min="2817" max="2817" width="7.140625" customWidth="1"/>
    <col min="2818" max="2818" width="39.42578125" customWidth="1"/>
    <col min="2819" max="2819" width="6.7109375" customWidth="1"/>
    <col min="2820" max="2820" width="5.7109375" customWidth="1"/>
    <col min="2821" max="2821" width="5.85546875" customWidth="1"/>
    <col min="2822" max="2822" width="7.85546875" customWidth="1"/>
    <col min="2823" max="2823" width="14.28515625" customWidth="1"/>
    <col min="2824" max="2824" width="14" customWidth="1"/>
    <col min="2825" max="2839" width="0" hidden="1" customWidth="1"/>
    <col min="2840" max="2840" width="11.5703125" customWidth="1"/>
    <col min="2841" max="2841" width="11.85546875" customWidth="1"/>
    <col min="2842" max="2842" width="15.7109375" customWidth="1"/>
    <col min="2843" max="2843" width="1.5703125" customWidth="1"/>
    <col min="2844" max="2844" width="10.5703125" customWidth="1"/>
    <col min="2845" max="2845" width="20.7109375" customWidth="1"/>
    <col min="2846" max="2846" width="2" customWidth="1"/>
    <col min="2847" max="2847" width="10.140625" customWidth="1"/>
    <col min="2848" max="2848" width="13.7109375" customWidth="1"/>
    <col min="2849" max="2849" width="16.5703125" customWidth="1"/>
    <col min="2850" max="2850" width="16" customWidth="1"/>
    <col min="2851" max="3060" width="9.42578125" customWidth="1"/>
    <col min="3061" max="3061" width="7.140625" customWidth="1"/>
    <col min="3062" max="3062" width="35.28515625" customWidth="1"/>
    <col min="3063" max="3063" width="6.7109375" customWidth="1"/>
    <col min="3064" max="3064" width="5.7109375" customWidth="1"/>
    <col min="3065" max="3065" width="5.85546875" customWidth="1"/>
    <col min="3066" max="3066" width="7.85546875" customWidth="1"/>
    <col min="3073" max="3073" width="7.140625" customWidth="1"/>
    <col min="3074" max="3074" width="39.42578125" customWidth="1"/>
    <col min="3075" max="3075" width="6.7109375" customWidth="1"/>
    <col min="3076" max="3076" width="5.7109375" customWidth="1"/>
    <col min="3077" max="3077" width="5.85546875" customWidth="1"/>
    <col min="3078" max="3078" width="7.85546875" customWidth="1"/>
    <col min="3079" max="3079" width="14.28515625" customWidth="1"/>
    <col min="3080" max="3080" width="14" customWidth="1"/>
    <col min="3081" max="3095" width="0" hidden="1" customWidth="1"/>
    <col min="3096" max="3096" width="11.5703125" customWidth="1"/>
    <col min="3097" max="3097" width="11.85546875" customWidth="1"/>
    <col min="3098" max="3098" width="15.7109375" customWidth="1"/>
    <col min="3099" max="3099" width="1.5703125" customWidth="1"/>
    <col min="3100" max="3100" width="10.5703125" customWidth="1"/>
    <col min="3101" max="3101" width="20.7109375" customWidth="1"/>
    <col min="3102" max="3102" width="2" customWidth="1"/>
    <col min="3103" max="3103" width="10.140625" customWidth="1"/>
    <col min="3104" max="3104" width="13.7109375" customWidth="1"/>
    <col min="3105" max="3105" width="16.5703125" customWidth="1"/>
    <col min="3106" max="3106" width="16" customWidth="1"/>
    <col min="3107" max="3316" width="9.42578125" customWidth="1"/>
    <col min="3317" max="3317" width="7.140625" customWidth="1"/>
    <col min="3318" max="3318" width="35.28515625" customWidth="1"/>
    <col min="3319" max="3319" width="6.7109375" customWidth="1"/>
    <col min="3320" max="3320" width="5.7109375" customWidth="1"/>
    <col min="3321" max="3321" width="5.85546875" customWidth="1"/>
    <col min="3322" max="3322" width="7.85546875" customWidth="1"/>
    <col min="3329" max="3329" width="7.140625" customWidth="1"/>
    <col min="3330" max="3330" width="39.42578125" customWidth="1"/>
    <col min="3331" max="3331" width="6.7109375" customWidth="1"/>
    <col min="3332" max="3332" width="5.7109375" customWidth="1"/>
    <col min="3333" max="3333" width="5.85546875" customWidth="1"/>
    <col min="3334" max="3334" width="7.85546875" customWidth="1"/>
    <col min="3335" max="3335" width="14.28515625" customWidth="1"/>
    <col min="3336" max="3336" width="14" customWidth="1"/>
    <col min="3337" max="3351" width="0" hidden="1" customWidth="1"/>
    <col min="3352" max="3352" width="11.5703125" customWidth="1"/>
    <col min="3353" max="3353" width="11.85546875" customWidth="1"/>
    <col min="3354" max="3354" width="15.7109375" customWidth="1"/>
    <col min="3355" max="3355" width="1.5703125" customWidth="1"/>
    <col min="3356" max="3356" width="10.5703125" customWidth="1"/>
    <col min="3357" max="3357" width="20.7109375" customWidth="1"/>
    <col min="3358" max="3358" width="2" customWidth="1"/>
    <col min="3359" max="3359" width="10.140625" customWidth="1"/>
    <col min="3360" max="3360" width="13.7109375" customWidth="1"/>
    <col min="3361" max="3361" width="16.5703125" customWidth="1"/>
    <col min="3362" max="3362" width="16" customWidth="1"/>
    <col min="3363" max="3572" width="9.42578125" customWidth="1"/>
    <col min="3573" max="3573" width="7.140625" customWidth="1"/>
    <col min="3574" max="3574" width="35.28515625" customWidth="1"/>
    <col min="3575" max="3575" width="6.7109375" customWidth="1"/>
    <col min="3576" max="3576" width="5.7109375" customWidth="1"/>
    <col min="3577" max="3577" width="5.85546875" customWidth="1"/>
    <col min="3578" max="3578" width="7.85546875" customWidth="1"/>
    <col min="3585" max="3585" width="7.140625" customWidth="1"/>
    <col min="3586" max="3586" width="39.42578125" customWidth="1"/>
    <col min="3587" max="3587" width="6.7109375" customWidth="1"/>
    <col min="3588" max="3588" width="5.7109375" customWidth="1"/>
    <col min="3589" max="3589" width="5.85546875" customWidth="1"/>
    <col min="3590" max="3590" width="7.85546875" customWidth="1"/>
    <col min="3591" max="3591" width="14.28515625" customWidth="1"/>
    <col min="3592" max="3592" width="14" customWidth="1"/>
    <col min="3593" max="3607" width="0" hidden="1" customWidth="1"/>
    <col min="3608" max="3608" width="11.5703125" customWidth="1"/>
    <col min="3609" max="3609" width="11.85546875" customWidth="1"/>
    <col min="3610" max="3610" width="15.7109375" customWidth="1"/>
    <col min="3611" max="3611" width="1.5703125" customWidth="1"/>
    <col min="3612" max="3612" width="10.5703125" customWidth="1"/>
    <col min="3613" max="3613" width="20.7109375" customWidth="1"/>
    <col min="3614" max="3614" width="2" customWidth="1"/>
    <col min="3615" max="3615" width="10.140625" customWidth="1"/>
    <col min="3616" max="3616" width="13.7109375" customWidth="1"/>
    <col min="3617" max="3617" width="16.5703125" customWidth="1"/>
    <col min="3618" max="3618" width="16" customWidth="1"/>
    <col min="3619" max="3828" width="9.42578125" customWidth="1"/>
    <col min="3829" max="3829" width="7.140625" customWidth="1"/>
    <col min="3830" max="3830" width="35.28515625" customWidth="1"/>
    <col min="3831" max="3831" width="6.7109375" customWidth="1"/>
    <col min="3832" max="3832" width="5.7109375" customWidth="1"/>
    <col min="3833" max="3833" width="5.85546875" customWidth="1"/>
    <col min="3834" max="3834" width="7.85546875" customWidth="1"/>
    <col min="3841" max="3841" width="7.140625" customWidth="1"/>
    <col min="3842" max="3842" width="39.42578125" customWidth="1"/>
    <col min="3843" max="3843" width="6.7109375" customWidth="1"/>
    <col min="3844" max="3844" width="5.7109375" customWidth="1"/>
    <col min="3845" max="3845" width="5.85546875" customWidth="1"/>
    <col min="3846" max="3846" width="7.85546875" customWidth="1"/>
    <col min="3847" max="3847" width="14.28515625" customWidth="1"/>
    <col min="3848" max="3848" width="14" customWidth="1"/>
    <col min="3849" max="3863" width="0" hidden="1" customWidth="1"/>
    <col min="3864" max="3864" width="11.5703125" customWidth="1"/>
    <col min="3865" max="3865" width="11.85546875" customWidth="1"/>
    <col min="3866" max="3866" width="15.7109375" customWidth="1"/>
    <col min="3867" max="3867" width="1.5703125" customWidth="1"/>
    <col min="3868" max="3868" width="10.5703125" customWidth="1"/>
    <col min="3869" max="3869" width="20.7109375" customWidth="1"/>
    <col min="3870" max="3870" width="2" customWidth="1"/>
    <col min="3871" max="3871" width="10.140625" customWidth="1"/>
    <col min="3872" max="3872" width="13.7109375" customWidth="1"/>
    <col min="3873" max="3873" width="16.5703125" customWidth="1"/>
    <col min="3874" max="3874" width="16" customWidth="1"/>
    <col min="3875" max="4084" width="9.42578125" customWidth="1"/>
    <col min="4085" max="4085" width="7.140625" customWidth="1"/>
    <col min="4086" max="4086" width="35.28515625" customWidth="1"/>
    <col min="4087" max="4087" width="6.7109375" customWidth="1"/>
    <col min="4088" max="4088" width="5.7109375" customWidth="1"/>
    <col min="4089" max="4089" width="5.85546875" customWidth="1"/>
    <col min="4090" max="4090" width="7.85546875" customWidth="1"/>
    <col min="4097" max="4097" width="7.140625" customWidth="1"/>
    <col min="4098" max="4098" width="39.42578125" customWidth="1"/>
    <col min="4099" max="4099" width="6.7109375" customWidth="1"/>
    <col min="4100" max="4100" width="5.7109375" customWidth="1"/>
    <col min="4101" max="4101" width="5.85546875" customWidth="1"/>
    <col min="4102" max="4102" width="7.85546875" customWidth="1"/>
    <col min="4103" max="4103" width="14.28515625" customWidth="1"/>
    <col min="4104" max="4104" width="14" customWidth="1"/>
    <col min="4105" max="4119" width="0" hidden="1" customWidth="1"/>
    <col min="4120" max="4120" width="11.5703125" customWidth="1"/>
    <col min="4121" max="4121" width="11.85546875" customWidth="1"/>
    <col min="4122" max="4122" width="15.7109375" customWidth="1"/>
    <col min="4123" max="4123" width="1.5703125" customWidth="1"/>
    <col min="4124" max="4124" width="10.5703125" customWidth="1"/>
    <col min="4125" max="4125" width="20.7109375" customWidth="1"/>
    <col min="4126" max="4126" width="2" customWidth="1"/>
    <col min="4127" max="4127" width="10.140625" customWidth="1"/>
    <col min="4128" max="4128" width="13.7109375" customWidth="1"/>
    <col min="4129" max="4129" width="16.5703125" customWidth="1"/>
    <col min="4130" max="4130" width="16" customWidth="1"/>
    <col min="4131" max="4340" width="9.42578125" customWidth="1"/>
    <col min="4341" max="4341" width="7.140625" customWidth="1"/>
    <col min="4342" max="4342" width="35.28515625" customWidth="1"/>
    <col min="4343" max="4343" width="6.7109375" customWidth="1"/>
    <col min="4344" max="4344" width="5.7109375" customWidth="1"/>
    <col min="4345" max="4345" width="5.85546875" customWidth="1"/>
    <col min="4346" max="4346" width="7.85546875" customWidth="1"/>
    <col min="4353" max="4353" width="7.140625" customWidth="1"/>
    <col min="4354" max="4354" width="39.42578125" customWidth="1"/>
    <col min="4355" max="4355" width="6.7109375" customWidth="1"/>
    <col min="4356" max="4356" width="5.7109375" customWidth="1"/>
    <col min="4357" max="4357" width="5.85546875" customWidth="1"/>
    <col min="4358" max="4358" width="7.85546875" customWidth="1"/>
    <col min="4359" max="4359" width="14.28515625" customWidth="1"/>
    <col min="4360" max="4360" width="14" customWidth="1"/>
    <col min="4361" max="4375" width="0" hidden="1" customWidth="1"/>
    <col min="4376" max="4376" width="11.5703125" customWidth="1"/>
    <col min="4377" max="4377" width="11.85546875" customWidth="1"/>
    <col min="4378" max="4378" width="15.7109375" customWidth="1"/>
    <col min="4379" max="4379" width="1.5703125" customWidth="1"/>
    <col min="4380" max="4380" width="10.5703125" customWidth="1"/>
    <col min="4381" max="4381" width="20.7109375" customWidth="1"/>
    <col min="4382" max="4382" width="2" customWidth="1"/>
    <col min="4383" max="4383" width="10.140625" customWidth="1"/>
    <col min="4384" max="4384" width="13.7109375" customWidth="1"/>
    <col min="4385" max="4385" width="16.5703125" customWidth="1"/>
    <col min="4386" max="4386" width="16" customWidth="1"/>
    <col min="4387" max="4596" width="9.42578125" customWidth="1"/>
    <col min="4597" max="4597" width="7.140625" customWidth="1"/>
    <col min="4598" max="4598" width="35.28515625" customWidth="1"/>
    <col min="4599" max="4599" width="6.7109375" customWidth="1"/>
    <col min="4600" max="4600" width="5.7109375" customWidth="1"/>
    <col min="4601" max="4601" width="5.85546875" customWidth="1"/>
    <col min="4602" max="4602" width="7.85546875" customWidth="1"/>
    <col min="4609" max="4609" width="7.140625" customWidth="1"/>
    <col min="4610" max="4610" width="39.42578125" customWidth="1"/>
    <col min="4611" max="4611" width="6.7109375" customWidth="1"/>
    <col min="4612" max="4612" width="5.7109375" customWidth="1"/>
    <col min="4613" max="4613" width="5.85546875" customWidth="1"/>
    <col min="4614" max="4614" width="7.85546875" customWidth="1"/>
    <col min="4615" max="4615" width="14.28515625" customWidth="1"/>
    <col min="4616" max="4616" width="14" customWidth="1"/>
    <col min="4617" max="4631" width="0" hidden="1" customWidth="1"/>
    <col min="4632" max="4632" width="11.5703125" customWidth="1"/>
    <col min="4633" max="4633" width="11.85546875" customWidth="1"/>
    <col min="4634" max="4634" width="15.7109375" customWidth="1"/>
    <col min="4635" max="4635" width="1.5703125" customWidth="1"/>
    <col min="4636" max="4636" width="10.5703125" customWidth="1"/>
    <col min="4637" max="4637" width="20.7109375" customWidth="1"/>
    <col min="4638" max="4638" width="2" customWidth="1"/>
    <col min="4639" max="4639" width="10.140625" customWidth="1"/>
    <col min="4640" max="4640" width="13.7109375" customWidth="1"/>
    <col min="4641" max="4641" width="16.5703125" customWidth="1"/>
    <col min="4642" max="4642" width="16" customWidth="1"/>
    <col min="4643" max="4852" width="9.42578125" customWidth="1"/>
    <col min="4853" max="4853" width="7.140625" customWidth="1"/>
    <col min="4854" max="4854" width="35.28515625" customWidth="1"/>
    <col min="4855" max="4855" width="6.7109375" customWidth="1"/>
    <col min="4856" max="4856" width="5.7109375" customWidth="1"/>
    <col min="4857" max="4857" width="5.85546875" customWidth="1"/>
    <col min="4858" max="4858" width="7.85546875" customWidth="1"/>
    <col min="4865" max="4865" width="7.140625" customWidth="1"/>
    <col min="4866" max="4866" width="39.42578125" customWidth="1"/>
    <col min="4867" max="4867" width="6.7109375" customWidth="1"/>
    <col min="4868" max="4868" width="5.7109375" customWidth="1"/>
    <col min="4869" max="4869" width="5.85546875" customWidth="1"/>
    <col min="4870" max="4870" width="7.85546875" customWidth="1"/>
    <col min="4871" max="4871" width="14.28515625" customWidth="1"/>
    <col min="4872" max="4872" width="14" customWidth="1"/>
    <col min="4873" max="4887" width="0" hidden="1" customWidth="1"/>
    <col min="4888" max="4888" width="11.5703125" customWidth="1"/>
    <col min="4889" max="4889" width="11.85546875" customWidth="1"/>
    <col min="4890" max="4890" width="15.7109375" customWidth="1"/>
    <col min="4891" max="4891" width="1.5703125" customWidth="1"/>
    <col min="4892" max="4892" width="10.5703125" customWidth="1"/>
    <col min="4893" max="4893" width="20.7109375" customWidth="1"/>
    <col min="4894" max="4894" width="2" customWidth="1"/>
    <col min="4895" max="4895" width="10.140625" customWidth="1"/>
    <col min="4896" max="4896" width="13.7109375" customWidth="1"/>
    <col min="4897" max="4897" width="16.5703125" customWidth="1"/>
    <col min="4898" max="4898" width="16" customWidth="1"/>
    <col min="4899" max="5108" width="9.42578125" customWidth="1"/>
    <col min="5109" max="5109" width="7.140625" customWidth="1"/>
    <col min="5110" max="5110" width="35.28515625" customWidth="1"/>
    <col min="5111" max="5111" width="6.7109375" customWidth="1"/>
    <col min="5112" max="5112" width="5.7109375" customWidth="1"/>
    <col min="5113" max="5113" width="5.85546875" customWidth="1"/>
    <col min="5114" max="5114" width="7.85546875" customWidth="1"/>
    <col min="5121" max="5121" width="7.140625" customWidth="1"/>
    <col min="5122" max="5122" width="39.42578125" customWidth="1"/>
    <col min="5123" max="5123" width="6.7109375" customWidth="1"/>
    <col min="5124" max="5124" width="5.7109375" customWidth="1"/>
    <col min="5125" max="5125" width="5.85546875" customWidth="1"/>
    <col min="5126" max="5126" width="7.85546875" customWidth="1"/>
    <col min="5127" max="5127" width="14.28515625" customWidth="1"/>
    <col min="5128" max="5128" width="14" customWidth="1"/>
    <col min="5129" max="5143" width="0" hidden="1" customWidth="1"/>
    <col min="5144" max="5144" width="11.5703125" customWidth="1"/>
    <col min="5145" max="5145" width="11.85546875" customWidth="1"/>
    <col min="5146" max="5146" width="15.7109375" customWidth="1"/>
    <col min="5147" max="5147" width="1.5703125" customWidth="1"/>
    <col min="5148" max="5148" width="10.5703125" customWidth="1"/>
    <col min="5149" max="5149" width="20.7109375" customWidth="1"/>
    <col min="5150" max="5150" width="2" customWidth="1"/>
    <col min="5151" max="5151" width="10.140625" customWidth="1"/>
    <col min="5152" max="5152" width="13.7109375" customWidth="1"/>
    <col min="5153" max="5153" width="16.5703125" customWidth="1"/>
    <col min="5154" max="5154" width="16" customWidth="1"/>
    <col min="5155" max="5364" width="9.42578125" customWidth="1"/>
    <col min="5365" max="5365" width="7.140625" customWidth="1"/>
    <col min="5366" max="5366" width="35.28515625" customWidth="1"/>
    <col min="5367" max="5367" width="6.7109375" customWidth="1"/>
    <col min="5368" max="5368" width="5.7109375" customWidth="1"/>
    <col min="5369" max="5369" width="5.85546875" customWidth="1"/>
    <col min="5370" max="5370" width="7.85546875" customWidth="1"/>
    <col min="5377" max="5377" width="7.140625" customWidth="1"/>
    <col min="5378" max="5378" width="39.42578125" customWidth="1"/>
    <col min="5379" max="5379" width="6.7109375" customWidth="1"/>
    <col min="5380" max="5380" width="5.7109375" customWidth="1"/>
    <col min="5381" max="5381" width="5.85546875" customWidth="1"/>
    <col min="5382" max="5382" width="7.85546875" customWidth="1"/>
    <col min="5383" max="5383" width="14.28515625" customWidth="1"/>
    <col min="5384" max="5384" width="14" customWidth="1"/>
    <col min="5385" max="5399" width="0" hidden="1" customWidth="1"/>
    <col min="5400" max="5400" width="11.5703125" customWidth="1"/>
    <col min="5401" max="5401" width="11.85546875" customWidth="1"/>
    <col min="5402" max="5402" width="15.7109375" customWidth="1"/>
    <col min="5403" max="5403" width="1.5703125" customWidth="1"/>
    <col min="5404" max="5404" width="10.5703125" customWidth="1"/>
    <col min="5405" max="5405" width="20.7109375" customWidth="1"/>
    <col min="5406" max="5406" width="2" customWidth="1"/>
    <col min="5407" max="5407" width="10.140625" customWidth="1"/>
    <col min="5408" max="5408" width="13.7109375" customWidth="1"/>
    <col min="5409" max="5409" width="16.5703125" customWidth="1"/>
    <col min="5410" max="5410" width="16" customWidth="1"/>
    <col min="5411" max="5620" width="9.42578125" customWidth="1"/>
    <col min="5621" max="5621" width="7.140625" customWidth="1"/>
    <col min="5622" max="5622" width="35.28515625" customWidth="1"/>
    <col min="5623" max="5623" width="6.7109375" customWidth="1"/>
    <col min="5624" max="5624" width="5.7109375" customWidth="1"/>
    <col min="5625" max="5625" width="5.85546875" customWidth="1"/>
    <col min="5626" max="5626" width="7.85546875" customWidth="1"/>
    <col min="5633" max="5633" width="7.140625" customWidth="1"/>
    <col min="5634" max="5634" width="39.42578125" customWidth="1"/>
    <col min="5635" max="5635" width="6.7109375" customWidth="1"/>
    <col min="5636" max="5636" width="5.7109375" customWidth="1"/>
    <col min="5637" max="5637" width="5.85546875" customWidth="1"/>
    <col min="5638" max="5638" width="7.85546875" customWidth="1"/>
    <col min="5639" max="5639" width="14.28515625" customWidth="1"/>
    <col min="5640" max="5640" width="14" customWidth="1"/>
    <col min="5641" max="5655" width="0" hidden="1" customWidth="1"/>
    <col min="5656" max="5656" width="11.5703125" customWidth="1"/>
    <col min="5657" max="5657" width="11.85546875" customWidth="1"/>
    <col min="5658" max="5658" width="15.7109375" customWidth="1"/>
    <col min="5659" max="5659" width="1.5703125" customWidth="1"/>
    <col min="5660" max="5660" width="10.5703125" customWidth="1"/>
    <col min="5661" max="5661" width="20.7109375" customWidth="1"/>
    <col min="5662" max="5662" width="2" customWidth="1"/>
    <col min="5663" max="5663" width="10.140625" customWidth="1"/>
    <col min="5664" max="5664" width="13.7109375" customWidth="1"/>
    <col min="5665" max="5665" width="16.5703125" customWidth="1"/>
    <col min="5666" max="5666" width="16" customWidth="1"/>
    <col min="5667" max="5876" width="9.42578125" customWidth="1"/>
    <col min="5877" max="5877" width="7.140625" customWidth="1"/>
    <col min="5878" max="5878" width="35.28515625" customWidth="1"/>
    <col min="5879" max="5879" width="6.7109375" customWidth="1"/>
    <col min="5880" max="5880" width="5.7109375" customWidth="1"/>
    <col min="5881" max="5881" width="5.85546875" customWidth="1"/>
    <col min="5882" max="5882" width="7.85546875" customWidth="1"/>
    <col min="5889" max="5889" width="7.140625" customWidth="1"/>
    <col min="5890" max="5890" width="39.42578125" customWidth="1"/>
    <col min="5891" max="5891" width="6.7109375" customWidth="1"/>
    <col min="5892" max="5892" width="5.7109375" customWidth="1"/>
    <col min="5893" max="5893" width="5.85546875" customWidth="1"/>
    <col min="5894" max="5894" width="7.85546875" customWidth="1"/>
    <col min="5895" max="5895" width="14.28515625" customWidth="1"/>
    <col min="5896" max="5896" width="14" customWidth="1"/>
    <col min="5897" max="5911" width="0" hidden="1" customWidth="1"/>
    <col min="5912" max="5912" width="11.5703125" customWidth="1"/>
    <col min="5913" max="5913" width="11.85546875" customWidth="1"/>
    <col min="5914" max="5914" width="15.7109375" customWidth="1"/>
    <col min="5915" max="5915" width="1.5703125" customWidth="1"/>
    <col min="5916" max="5916" width="10.5703125" customWidth="1"/>
    <col min="5917" max="5917" width="20.7109375" customWidth="1"/>
    <col min="5918" max="5918" width="2" customWidth="1"/>
    <col min="5919" max="5919" width="10.140625" customWidth="1"/>
    <col min="5920" max="5920" width="13.7109375" customWidth="1"/>
    <col min="5921" max="5921" width="16.5703125" customWidth="1"/>
    <col min="5922" max="5922" width="16" customWidth="1"/>
    <col min="5923" max="6132" width="9.42578125" customWidth="1"/>
    <col min="6133" max="6133" width="7.140625" customWidth="1"/>
    <col min="6134" max="6134" width="35.28515625" customWidth="1"/>
    <col min="6135" max="6135" width="6.7109375" customWidth="1"/>
    <col min="6136" max="6136" width="5.7109375" customWidth="1"/>
    <col min="6137" max="6137" width="5.85546875" customWidth="1"/>
    <col min="6138" max="6138" width="7.85546875" customWidth="1"/>
    <col min="6145" max="6145" width="7.140625" customWidth="1"/>
    <col min="6146" max="6146" width="39.42578125" customWidth="1"/>
    <col min="6147" max="6147" width="6.7109375" customWidth="1"/>
    <col min="6148" max="6148" width="5.7109375" customWidth="1"/>
    <col min="6149" max="6149" width="5.85546875" customWidth="1"/>
    <col min="6150" max="6150" width="7.85546875" customWidth="1"/>
    <col min="6151" max="6151" width="14.28515625" customWidth="1"/>
    <col min="6152" max="6152" width="14" customWidth="1"/>
    <col min="6153" max="6167" width="0" hidden="1" customWidth="1"/>
    <col min="6168" max="6168" width="11.5703125" customWidth="1"/>
    <col min="6169" max="6169" width="11.85546875" customWidth="1"/>
    <col min="6170" max="6170" width="15.7109375" customWidth="1"/>
    <col min="6171" max="6171" width="1.5703125" customWidth="1"/>
    <col min="6172" max="6172" width="10.5703125" customWidth="1"/>
    <col min="6173" max="6173" width="20.7109375" customWidth="1"/>
    <col min="6174" max="6174" width="2" customWidth="1"/>
    <col min="6175" max="6175" width="10.140625" customWidth="1"/>
    <col min="6176" max="6176" width="13.7109375" customWidth="1"/>
    <col min="6177" max="6177" width="16.5703125" customWidth="1"/>
    <col min="6178" max="6178" width="16" customWidth="1"/>
    <col min="6179" max="6388" width="9.42578125" customWidth="1"/>
    <col min="6389" max="6389" width="7.140625" customWidth="1"/>
    <col min="6390" max="6390" width="35.28515625" customWidth="1"/>
    <col min="6391" max="6391" width="6.7109375" customWidth="1"/>
    <col min="6392" max="6392" width="5.7109375" customWidth="1"/>
    <col min="6393" max="6393" width="5.85546875" customWidth="1"/>
    <col min="6394" max="6394" width="7.85546875" customWidth="1"/>
    <col min="6401" max="6401" width="7.140625" customWidth="1"/>
    <col min="6402" max="6402" width="39.42578125" customWidth="1"/>
    <col min="6403" max="6403" width="6.7109375" customWidth="1"/>
    <col min="6404" max="6404" width="5.7109375" customWidth="1"/>
    <col min="6405" max="6405" width="5.85546875" customWidth="1"/>
    <col min="6406" max="6406" width="7.85546875" customWidth="1"/>
    <col min="6407" max="6407" width="14.28515625" customWidth="1"/>
    <col min="6408" max="6408" width="14" customWidth="1"/>
    <col min="6409" max="6423" width="0" hidden="1" customWidth="1"/>
    <col min="6424" max="6424" width="11.5703125" customWidth="1"/>
    <col min="6425" max="6425" width="11.85546875" customWidth="1"/>
    <col min="6426" max="6426" width="15.7109375" customWidth="1"/>
    <col min="6427" max="6427" width="1.5703125" customWidth="1"/>
    <col min="6428" max="6428" width="10.5703125" customWidth="1"/>
    <col min="6429" max="6429" width="20.7109375" customWidth="1"/>
    <col min="6430" max="6430" width="2" customWidth="1"/>
    <col min="6431" max="6431" width="10.140625" customWidth="1"/>
    <col min="6432" max="6432" width="13.7109375" customWidth="1"/>
    <col min="6433" max="6433" width="16.5703125" customWidth="1"/>
    <col min="6434" max="6434" width="16" customWidth="1"/>
    <col min="6435" max="6644" width="9.42578125" customWidth="1"/>
    <col min="6645" max="6645" width="7.140625" customWidth="1"/>
    <col min="6646" max="6646" width="35.28515625" customWidth="1"/>
    <col min="6647" max="6647" width="6.7109375" customWidth="1"/>
    <col min="6648" max="6648" width="5.7109375" customWidth="1"/>
    <col min="6649" max="6649" width="5.85546875" customWidth="1"/>
    <col min="6650" max="6650" width="7.85546875" customWidth="1"/>
    <col min="6657" max="6657" width="7.140625" customWidth="1"/>
    <col min="6658" max="6658" width="39.42578125" customWidth="1"/>
    <col min="6659" max="6659" width="6.7109375" customWidth="1"/>
    <col min="6660" max="6660" width="5.7109375" customWidth="1"/>
    <col min="6661" max="6661" width="5.85546875" customWidth="1"/>
    <col min="6662" max="6662" width="7.85546875" customWidth="1"/>
    <col min="6663" max="6663" width="14.28515625" customWidth="1"/>
    <col min="6664" max="6664" width="14" customWidth="1"/>
    <col min="6665" max="6679" width="0" hidden="1" customWidth="1"/>
    <col min="6680" max="6680" width="11.5703125" customWidth="1"/>
    <col min="6681" max="6681" width="11.85546875" customWidth="1"/>
    <col min="6682" max="6682" width="15.7109375" customWidth="1"/>
    <col min="6683" max="6683" width="1.5703125" customWidth="1"/>
    <col min="6684" max="6684" width="10.5703125" customWidth="1"/>
    <col min="6685" max="6685" width="20.7109375" customWidth="1"/>
    <col min="6686" max="6686" width="2" customWidth="1"/>
    <col min="6687" max="6687" width="10.140625" customWidth="1"/>
    <col min="6688" max="6688" width="13.7109375" customWidth="1"/>
    <col min="6689" max="6689" width="16.5703125" customWidth="1"/>
    <col min="6690" max="6690" width="16" customWidth="1"/>
    <col min="6691" max="6900" width="9.42578125" customWidth="1"/>
    <col min="6901" max="6901" width="7.140625" customWidth="1"/>
    <col min="6902" max="6902" width="35.28515625" customWidth="1"/>
    <col min="6903" max="6903" width="6.7109375" customWidth="1"/>
    <col min="6904" max="6904" width="5.7109375" customWidth="1"/>
    <col min="6905" max="6905" width="5.85546875" customWidth="1"/>
    <col min="6906" max="6906" width="7.85546875" customWidth="1"/>
    <col min="6913" max="6913" width="7.140625" customWidth="1"/>
    <col min="6914" max="6914" width="39.42578125" customWidth="1"/>
    <col min="6915" max="6915" width="6.7109375" customWidth="1"/>
    <col min="6916" max="6916" width="5.7109375" customWidth="1"/>
    <col min="6917" max="6917" width="5.85546875" customWidth="1"/>
    <col min="6918" max="6918" width="7.85546875" customWidth="1"/>
    <col min="6919" max="6919" width="14.28515625" customWidth="1"/>
    <col min="6920" max="6920" width="14" customWidth="1"/>
    <col min="6921" max="6935" width="0" hidden="1" customWidth="1"/>
    <col min="6936" max="6936" width="11.5703125" customWidth="1"/>
    <col min="6937" max="6937" width="11.85546875" customWidth="1"/>
    <col min="6938" max="6938" width="15.7109375" customWidth="1"/>
    <col min="6939" max="6939" width="1.5703125" customWidth="1"/>
    <col min="6940" max="6940" width="10.5703125" customWidth="1"/>
    <col min="6941" max="6941" width="20.7109375" customWidth="1"/>
    <col min="6942" max="6942" width="2" customWidth="1"/>
    <col min="6943" max="6943" width="10.140625" customWidth="1"/>
    <col min="6944" max="6944" width="13.7109375" customWidth="1"/>
    <col min="6945" max="6945" width="16.5703125" customWidth="1"/>
    <col min="6946" max="6946" width="16" customWidth="1"/>
    <col min="6947" max="7156" width="9.42578125" customWidth="1"/>
    <col min="7157" max="7157" width="7.140625" customWidth="1"/>
    <col min="7158" max="7158" width="35.28515625" customWidth="1"/>
    <col min="7159" max="7159" width="6.7109375" customWidth="1"/>
    <col min="7160" max="7160" width="5.7109375" customWidth="1"/>
    <col min="7161" max="7161" width="5.85546875" customWidth="1"/>
    <col min="7162" max="7162" width="7.85546875" customWidth="1"/>
    <col min="7169" max="7169" width="7.140625" customWidth="1"/>
    <col min="7170" max="7170" width="39.42578125" customWidth="1"/>
    <col min="7171" max="7171" width="6.7109375" customWidth="1"/>
    <col min="7172" max="7172" width="5.7109375" customWidth="1"/>
    <col min="7173" max="7173" width="5.85546875" customWidth="1"/>
    <col min="7174" max="7174" width="7.85546875" customWidth="1"/>
    <col min="7175" max="7175" width="14.28515625" customWidth="1"/>
    <col min="7176" max="7176" width="14" customWidth="1"/>
    <col min="7177" max="7191" width="0" hidden="1" customWidth="1"/>
    <col min="7192" max="7192" width="11.5703125" customWidth="1"/>
    <col min="7193" max="7193" width="11.85546875" customWidth="1"/>
    <col min="7194" max="7194" width="15.7109375" customWidth="1"/>
    <col min="7195" max="7195" width="1.5703125" customWidth="1"/>
    <col min="7196" max="7196" width="10.5703125" customWidth="1"/>
    <col min="7197" max="7197" width="20.7109375" customWidth="1"/>
    <col min="7198" max="7198" width="2" customWidth="1"/>
    <col min="7199" max="7199" width="10.140625" customWidth="1"/>
    <col min="7200" max="7200" width="13.7109375" customWidth="1"/>
    <col min="7201" max="7201" width="16.5703125" customWidth="1"/>
    <col min="7202" max="7202" width="16" customWidth="1"/>
    <col min="7203" max="7412" width="9.42578125" customWidth="1"/>
    <col min="7413" max="7413" width="7.140625" customWidth="1"/>
    <col min="7414" max="7414" width="35.28515625" customWidth="1"/>
    <col min="7415" max="7415" width="6.7109375" customWidth="1"/>
    <col min="7416" max="7416" width="5.7109375" customWidth="1"/>
    <col min="7417" max="7417" width="5.85546875" customWidth="1"/>
    <col min="7418" max="7418" width="7.85546875" customWidth="1"/>
    <col min="7425" max="7425" width="7.140625" customWidth="1"/>
    <col min="7426" max="7426" width="39.42578125" customWidth="1"/>
    <col min="7427" max="7427" width="6.7109375" customWidth="1"/>
    <col min="7428" max="7428" width="5.7109375" customWidth="1"/>
    <col min="7429" max="7429" width="5.85546875" customWidth="1"/>
    <col min="7430" max="7430" width="7.85546875" customWidth="1"/>
    <col min="7431" max="7431" width="14.28515625" customWidth="1"/>
    <col min="7432" max="7432" width="14" customWidth="1"/>
    <col min="7433" max="7447" width="0" hidden="1" customWidth="1"/>
    <col min="7448" max="7448" width="11.5703125" customWidth="1"/>
    <col min="7449" max="7449" width="11.85546875" customWidth="1"/>
    <col min="7450" max="7450" width="15.7109375" customWidth="1"/>
    <col min="7451" max="7451" width="1.5703125" customWidth="1"/>
    <col min="7452" max="7452" width="10.5703125" customWidth="1"/>
    <col min="7453" max="7453" width="20.7109375" customWidth="1"/>
    <col min="7454" max="7454" width="2" customWidth="1"/>
    <col min="7455" max="7455" width="10.140625" customWidth="1"/>
    <col min="7456" max="7456" width="13.7109375" customWidth="1"/>
    <col min="7457" max="7457" width="16.5703125" customWidth="1"/>
    <col min="7458" max="7458" width="16" customWidth="1"/>
    <col min="7459" max="7668" width="9.42578125" customWidth="1"/>
    <col min="7669" max="7669" width="7.140625" customWidth="1"/>
    <col min="7670" max="7670" width="35.28515625" customWidth="1"/>
    <col min="7671" max="7671" width="6.7109375" customWidth="1"/>
    <col min="7672" max="7672" width="5.7109375" customWidth="1"/>
    <col min="7673" max="7673" width="5.85546875" customWidth="1"/>
    <col min="7674" max="7674" width="7.85546875" customWidth="1"/>
    <col min="7681" max="7681" width="7.140625" customWidth="1"/>
    <col min="7682" max="7682" width="39.42578125" customWidth="1"/>
    <col min="7683" max="7683" width="6.7109375" customWidth="1"/>
    <col min="7684" max="7684" width="5.7109375" customWidth="1"/>
    <col min="7685" max="7685" width="5.85546875" customWidth="1"/>
    <col min="7686" max="7686" width="7.85546875" customWidth="1"/>
    <col min="7687" max="7687" width="14.28515625" customWidth="1"/>
    <col min="7688" max="7688" width="14" customWidth="1"/>
    <col min="7689" max="7703" width="0" hidden="1" customWidth="1"/>
    <col min="7704" max="7704" width="11.5703125" customWidth="1"/>
    <col min="7705" max="7705" width="11.85546875" customWidth="1"/>
    <col min="7706" max="7706" width="15.7109375" customWidth="1"/>
    <col min="7707" max="7707" width="1.5703125" customWidth="1"/>
    <col min="7708" max="7708" width="10.5703125" customWidth="1"/>
    <col min="7709" max="7709" width="20.7109375" customWidth="1"/>
    <col min="7710" max="7710" width="2" customWidth="1"/>
    <col min="7711" max="7711" width="10.140625" customWidth="1"/>
    <col min="7712" max="7712" width="13.7109375" customWidth="1"/>
    <col min="7713" max="7713" width="16.5703125" customWidth="1"/>
    <col min="7714" max="7714" width="16" customWidth="1"/>
    <col min="7715" max="7924" width="9.42578125" customWidth="1"/>
    <col min="7925" max="7925" width="7.140625" customWidth="1"/>
    <col min="7926" max="7926" width="35.28515625" customWidth="1"/>
    <col min="7927" max="7927" width="6.7109375" customWidth="1"/>
    <col min="7928" max="7928" width="5.7109375" customWidth="1"/>
    <col min="7929" max="7929" width="5.85546875" customWidth="1"/>
    <col min="7930" max="7930" width="7.85546875" customWidth="1"/>
    <col min="7937" max="7937" width="7.140625" customWidth="1"/>
    <col min="7938" max="7938" width="39.42578125" customWidth="1"/>
    <col min="7939" max="7939" width="6.7109375" customWidth="1"/>
    <col min="7940" max="7940" width="5.7109375" customWidth="1"/>
    <col min="7941" max="7941" width="5.85546875" customWidth="1"/>
    <col min="7942" max="7942" width="7.85546875" customWidth="1"/>
    <col min="7943" max="7943" width="14.28515625" customWidth="1"/>
    <col min="7944" max="7944" width="14" customWidth="1"/>
    <col min="7945" max="7959" width="0" hidden="1" customWidth="1"/>
    <col min="7960" max="7960" width="11.5703125" customWidth="1"/>
    <col min="7961" max="7961" width="11.85546875" customWidth="1"/>
    <col min="7962" max="7962" width="15.7109375" customWidth="1"/>
    <col min="7963" max="7963" width="1.5703125" customWidth="1"/>
    <col min="7964" max="7964" width="10.5703125" customWidth="1"/>
    <col min="7965" max="7965" width="20.7109375" customWidth="1"/>
    <col min="7966" max="7966" width="2" customWidth="1"/>
    <col min="7967" max="7967" width="10.140625" customWidth="1"/>
    <col min="7968" max="7968" width="13.7109375" customWidth="1"/>
    <col min="7969" max="7969" width="16.5703125" customWidth="1"/>
    <col min="7970" max="7970" width="16" customWidth="1"/>
    <col min="7971" max="8180" width="9.42578125" customWidth="1"/>
    <col min="8181" max="8181" width="7.140625" customWidth="1"/>
    <col min="8182" max="8182" width="35.28515625" customWidth="1"/>
    <col min="8183" max="8183" width="6.7109375" customWidth="1"/>
    <col min="8184" max="8184" width="5.7109375" customWidth="1"/>
    <col min="8185" max="8185" width="5.85546875" customWidth="1"/>
    <col min="8186" max="8186" width="7.85546875" customWidth="1"/>
    <col min="8193" max="8193" width="7.140625" customWidth="1"/>
    <col min="8194" max="8194" width="39.42578125" customWidth="1"/>
    <col min="8195" max="8195" width="6.7109375" customWidth="1"/>
    <col min="8196" max="8196" width="5.7109375" customWidth="1"/>
    <col min="8197" max="8197" width="5.85546875" customWidth="1"/>
    <col min="8198" max="8198" width="7.85546875" customWidth="1"/>
    <col min="8199" max="8199" width="14.28515625" customWidth="1"/>
    <col min="8200" max="8200" width="14" customWidth="1"/>
    <col min="8201" max="8215" width="0" hidden="1" customWidth="1"/>
    <col min="8216" max="8216" width="11.5703125" customWidth="1"/>
    <col min="8217" max="8217" width="11.85546875" customWidth="1"/>
    <col min="8218" max="8218" width="15.7109375" customWidth="1"/>
    <col min="8219" max="8219" width="1.5703125" customWidth="1"/>
    <col min="8220" max="8220" width="10.5703125" customWidth="1"/>
    <col min="8221" max="8221" width="20.7109375" customWidth="1"/>
    <col min="8222" max="8222" width="2" customWidth="1"/>
    <col min="8223" max="8223" width="10.140625" customWidth="1"/>
    <col min="8224" max="8224" width="13.7109375" customWidth="1"/>
    <col min="8225" max="8225" width="16.5703125" customWidth="1"/>
    <col min="8226" max="8226" width="16" customWidth="1"/>
    <col min="8227" max="8436" width="9.42578125" customWidth="1"/>
    <col min="8437" max="8437" width="7.140625" customWidth="1"/>
    <col min="8438" max="8438" width="35.28515625" customWidth="1"/>
    <col min="8439" max="8439" width="6.7109375" customWidth="1"/>
    <col min="8440" max="8440" width="5.7109375" customWidth="1"/>
    <col min="8441" max="8441" width="5.85546875" customWidth="1"/>
    <col min="8442" max="8442" width="7.85546875" customWidth="1"/>
    <col min="8449" max="8449" width="7.140625" customWidth="1"/>
    <col min="8450" max="8450" width="39.42578125" customWidth="1"/>
    <col min="8451" max="8451" width="6.7109375" customWidth="1"/>
    <col min="8452" max="8452" width="5.7109375" customWidth="1"/>
    <col min="8453" max="8453" width="5.85546875" customWidth="1"/>
    <col min="8454" max="8454" width="7.85546875" customWidth="1"/>
    <col min="8455" max="8455" width="14.28515625" customWidth="1"/>
    <col min="8456" max="8456" width="14" customWidth="1"/>
    <col min="8457" max="8471" width="0" hidden="1" customWidth="1"/>
    <col min="8472" max="8472" width="11.5703125" customWidth="1"/>
    <col min="8473" max="8473" width="11.85546875" customWidth="1"/>
    <col min="8474" max="8474" width="15.7109375" customWidth="1"/>
    <col min="8475" max="8475" width="1.5703125" customWidth="1"/>
    <col min="8476" max="8476" width="10.5703125" customWidth="1"/>
    <col min="8477" max="8477" width="20.7109375" customWidth="1"/>
    <col min="8478" max="8478" width="2" customWidth="1"/>
    <col min="8479" max="8479" width="10.140625" customWidth="1"/>
    <col min="8480" max="8480" width="13.7109375" customWidth="1"/>
    <col min="8481" max="8481" width="16.5703125" customWidth="1"/>
    <col min="8482" max="8482" width="16" customWidth="1"/>
    <col min="8483" max="8692" width="9.42578125" customWidth="1"/>
    <col min="8693" max="8693" width="7.140625" customWidth="1"/>
    <col min="8694" max="8694" width="35.28515625" customWidth="1"/>
    <col min="8695" max="8695" width="6.7109375" customWidth="1"/>
    <col min="8696" max="8696" width="5.7109375" customWidth="1"/>
    <col min="8697" max="8697" width="5.85546875" customWidth="1"/>
    <col min="8698" max="8698" width="7.85546875" customWidth="1"/>
    <col min="8705" max="8705" width="7.140625" customWidth="1"/>
    <col min="8706" max="8706" width="39.42578125" customWidth="1"/>
    <col min="8707" max="8707" width="6.7109375" customWidth="1"/>
    <col min="8708" max="8708" width="5.7109375" customWidth="1"/>
    <col min="8709" max="8709" width="5.85546875" customWidth="1"/>
    <col min="8710" max="8710" width="7.85546875" customWidth="1"/>
    <col min="8711" max="8711" width="14.28515625" customWidth="1"/>
    <col min="8712" max="8712" width="14" customWidth="1"/>
    <col min="8713" max="8727" width="0" hidden="1" customWidth="1"/>
    <col min="8728" max="8728" width="11.5703125" customWidth="1"/>
    <col min="8729" max="8729" width="11.85546875" customWidth="1"/>
    <col min="8730" max="8730" width="15.7109375" customWidth="1"/>
    <col min="8731" max="8731" width="1.5703125" customWidth="1"/>
    <col min="8732" max="8732" width="10.5703125" customWidth="1"/>
    <col min="8733" max="8733" width="20.7109375" customWidth="1"/>
    <col min="8734" max="8734" width="2" customWidth="1"/>
    <col min="8735" max="8735" width="10.140625" customWidth="1"/>
    <col min="8736" max="8736" width="13.7109375" customWidth="1"/>
    <col min="8737" max="8737" width="16.5703125" customWidth="1"/>
    <col min="8738" max="8738" width="16" customWidth="1"/>
    <col min="8739" max="8948" width="9.42578125" customWidth="1"/>
    <col min="8949" max="8949" width="7.140625" customWidth="1"/>
    <col min="8950" max="8950" width="35.28515625" customWidth="1"/>
    <col min="8951" max="8951" width="6.7109375" customWidth="1"/>
    <col min="8952" max="8952" width="5.7109375" customWidth="1"/>
    <col min="8953" max="8953" width="5.85546875" customWidth="1"/>
    <col min="8954" max="8954" width="7.85546875" customWidth="1"/>
    <col min="8961" max="8961" width="7.140625" customWidth="1"/>
    <col min="8962" max="8962" width="39.42578125" customWidth="1"/>
    <col min="8963" max="8963" width="6.7109375" customWidth="1"/>
    <col min="8964" max="8964" width="5.7109375" customWidth="1"/>
    <col min="8965" max="8965" width="5.85546875" customWidth="1"/>
    <col min="8966" max="8966" width="7.85546875" customWidth="1"/>
    <col min="8967" max="8967" width="14.28515625" customWidth="1"/>
    <col min="8968" max="8968" width="14" customWidth="1"/>
    <col min="8969" max="8983" width="0" hidden="1" customWidth="1"/>
    <col min="8984" max="8984" width="11.5703125" customWidth="1"/>
    <col min="8985" max="8985" width="11.85546875" customWidth="1"/>
    <col min="8986" max="8986" width="15.7109375" customWidth="1"/>
    <col min="8987" max="8987" width="1.5703125" customWidth="1"/>
    <col min="8988" max="8988" width="10.5703125" customWidth="1"/>
    <col min="8989" max="8989" width="20.7109375" customWidth="1"/>
    <col min="8990" max="8990" width="2" customWidth="1"/>
    <col min="8991" max="8991" width="10.140625" customWidth="1"/>
    <col min="8992" max="8992" width="13.7109375" customWidth="1"/>
    <col min="8993" max="8993" width="16.5703125" customWidth="1"/>
    <col min="8994" max="8994" width="16" customWidth="1"/>
    <col min="8995" max="9204" width="9.42578125" customWidth="1"/>
    <col min="9205" max="9205" width="7.140625" customWidth="1"/>
    <col min="9206" max="9206" width="35.28515625" customWidth="1"/>
    <col min="9207" max="9207" width="6.7109375" customWidth="1"/>
    <col min="9208" max="9208" width="5.7109375" customWidth="1"/>
    <col min="9209" max="9209" width="5.85546875" customWidth="1"/>
    <col min="9210" max="9210" width="7.85546875" customWidth="1"/>
    <col min="9217" max="9217" width="7.140625" customWidth="1"/>
    <col min="9218" max="9218" width="39.42578125" customWidth="1"/>
    <col min="9219" max="9219" width="6.7109375" customWidth="1"/>
    <col min="9220" max="9220" width="5.7109375" customWidth="1"/>
    <col min="9221" max="9221" width="5.85546875" customWidth="1"/>
    <col min="9222" max="9222" width="7.85546875" customWidth="1"/>
    <col min="9223" max="9223" width="14.28515625" customWidth="1"/>
    <col min="9224" max="9224" width="14" customWidth="1"/>
    <col min="9225" max="9239" width="0" hidden="1" customWidth="1"/>
    <col min="9240" max="9240" width="11.5703125" customWidth="1"/>
    <col min="9241" max="9241" width="11.85546875" customWidth="1"/>
    <col min="9242" max="9242" width="15.7109375" customWidth="1"/>
    <col min="9243" max="9243" width="1.5703125" customWidth="1"/>
    <col min="9244" max="9244" width="10.5703125" customWidth="1"/>
    <col min="9245" max="9245" width="20.7109375" customWidth="1"/>
    <col min="9246" max="9246" width="2" customWidth="1"/>
    <col min="9247" max="9247" width="10.140625" customWidth="1"/>
    <col min="9248" max="9248" width="13.7109375" customWidth="1"/>
    <col min="9249" max="9249" width="16.5703125" customWidth="1"/>
    <col min="9250" max="9250" width="16" customWidth="1"/>
    <col min="9251" max="9460" width="9.42578125" customWidth="1"/>
    <col min="9461" max="9461" width="7.140625" customWidth="1"/>
    <col min="9462" max="9462" width="35.28515625" customWidth="1"/>
    <col min="9463" max="9463" width="6.7109375" customWidth="1"/>
    <col min="9464" max="9464" width="5.7109375" customWidth="1"/>
    <col min="9465" max="9465" width="5.85546875" customWidth="1"/>
    <col min="9466" max="9466" width="7.85546875" customWidth="1"/>
    <col min="9473" max="9473" width="7.140625" customWidth="1"/>
    <col min="9474" max="9474" width="39.42578125" customWidth="1"/>
    <col min="9475" max="9475" width="6.7109375" customWidth="1"/>
    <col min="9476" max="9476" width="5.7109375" customWidth="1"/>
    <col min="9477" max="9477" width="5.85546875" customWidth="1"/>
    <col min="9478" max="9478" width="7.85546875" customWidth="1"/>
    <col min="9479" max="9479" width="14.28515625" customWidth="1"/>
    <col min="9480" max="9480" width="14" customWidth="1"/>
    <col min="9481" max="9495" width="0" hidden="1" customWidth="1"/>
    <col min="9496" max="9496" width="11.5703125" customWidth="1"/>
    <col min="9497" max="9497" width="11.85546875" customWidth="1"/>
    <col min="9498" max="9498" width="15.7109375" customWidth="1"/>
    <col min="9499" max="9499" width="1.5703125" customWidth="1"/>
    <col min="9500" max="9500" width="10.5703125" customWidth="1"/>
    <col min="9501" max="9501" width="20.7109375" customWidth="1"/>
    <col min="9502" max="9502" width="2" customWidth="1"/>
    <col min="9503" max="9503" width="10.140625" customWidth="1"/>
    <col min="9504" max="9504" width="13.7109375" customWidth="1"/>
    <col min="9505" max="9505" width="16.5703125" customWidth="1"/>
    <col min="9506" max="9506" width="16" customWidth="1"/>
    <col min="9507" max="9716" width="9.42578125" customWidth="1"/>
    <col min="9717" max="9717" width="7.140625" customWidth="1"/>
    <col min="9718" max="9718" width="35.28515625" customWidth="1"/>
    <col min="9719" max="9719" width="6.7109375" customWidth="1"/>
    <col min="9720" max="9720" width="5.7109375" customWidth="1"/>
    <col min="9721" max="9721" width="5.85546875" customWidth="1"/>
    <col min="9722" max="9722" width="7.85546875" customWidth="1"/>
    <col min="9729" max="9729" width="7.140625" customWidth="1"/>
    <col min="9730" max="9730" width="39.42578125" customWidth="1"/>
    <col min="9731" max="9731" width="6.7109375" customWidth="1"/>
    <col min="9732" max="9732" width="5.7109375" customWidth="1"/>
    <col min="9733" max="9733" width="5.85546875" customWidth="1"/>
    <col min="9734" max="9734" width="7.85546875" customWidth="1"/>
    <col min="9735" max="9735" width="14.28515625" customWidth="1"/>
    <col min="9736" max="9736" width="14" customWidth="1"/>
    <col min="9737" max="9751" width="0" hidden="1" customWidth="1"/>
    <col min="9752" max="9752" width="11.5703125" customWidth="1"/>
    <col min="9753" max="9753" width="11.85546875" customWidth="1"/>
    <col min="9754" max="9754" width="15.7109375" customWidth="1"/>
    <col min="9755" max="9755" width="1.5703125" customWidth="1"/>
    <col min="9756" max="9756" width="10.5703125" customWidth="1"/>
    <col min="9757" max="9757" width="20.7109375" customWidth="1"/>
    <col min="9758" max="9758" width="2" customWidth="1"/>
    <col min="9759" max="9759" width="10.140625" customWidth="1"/>
    <col min="9760" max="9760" width="13.7109375" customWidth="1"/>
    <col min="9761" max="9761" width="16.5703125" customWidth="1"/>
    <col min="9762" max="9762" width="16" customWidth="1"/>
    <col min="9763" max="9972" width="9.42578125" customWidth="1"/>
    <col min="9973" max="9973" width="7.140625" customWidth="1"/>
    <col min="9974" max="9974" width="35.28515625" customWidth="1"/>
    <col min="9975" max="9975" width="6.7109375" customWidth="1"/>
    <col min="9976" max="9976" width="5.7109375" customWidth="1"/>
    <col min="9977" max="9977" width="5.85546875" customWidth="1"/>
    <col min="9978" max="9978" width="7.85546875" customWidth="1"/>
    <col min="9985" max="9985" width="7.140625" customWidth="1"/>
    <col min="9986" max="9986" width="39.42578125" customWidth="1"/>
    <col min="9987" max="9987" width="6.7109375" customWidth="1"/>
    <col min="9988" max="9988" width="5.7109375" customWidth="1"/>
    <col min="9989" max="9989" width="5.85546875" customWidth="1"/>
    <col min="9990" max="9990" width="7.85546875" customWidth="1"/>
    <col min="9991" max="9991" width="14.28515625" customWidth="1"/>
    <col min="9992" max="9992" width="14" customWidth="1"/>
    <col min="9993" max="10007" width="0" hidden="1" customWidth="1"/>
    <col min="10008" max="10008" width="11.5703125" customWidth="1"/>
    <col min="10009" max="10009" width="11.85546875" customWidth="1"/>
    <col min="10010" max="10010" width="15.7109375" customWidth="1"/>
    <col min="10011" max="10011" width="1.5703125" customWidth="1"/>
    <col min="10012" max="10012" width="10.5703125" customWidth="1"/>
    <col min="10013" max="10013" width="20.7109375" customWidth="1"/>
    <col min="10014" max="10014" width="2" customWidth="1"/>
    <col min="10015" max="10015" width="10.140625" customWidth="1"/>
    <col min="10016" max="10016" width="13.7109375" customWidth="1"/>
    <col min="10017" max="10017" width="16.5703125" customWidth="1"/>
    <col min="10018" max="10018" width="16" customWidth="1"/>
    <col min="10019" max="10228" width="9.42578125" customWidth="1"/>
    <col min="10229" max="10229" width="7.140625" customWidth="1"/>
    <col min="10230" max="10230" width="35.28515625" customWidth="1"/>
    <col min="10231" max="10231" width="6.7109375" customWidth="1"/>
    <col min="10232" max="10232" width="5.7109375" customWidth="1"/>
    <col min="10233" max="10233" width="5.85546875" customWidth="1"/>
    <col min="10234" max="10234" width="7.85546875" customWidth="1"/>
    <col min="10241" max="10241" width="7.140625" customWidth="1"/>
    <col min="10242" max="10242" width="39.42578125" customWidth="1"/>
    <col min="10243" max="10243" width="6.7109375" customWidth="1"/>
    <col min="10244" max="10244" width="5.7109375" customWidth="1"/>
    <col min="10245" max="10245" width="5.85546875" customWidth="1"/>
    <col min="10246" max="10246" width="7.85546875" customWidth="1"/>
    <col min="10247" max="10247" width="14.28515625" customWidth="1"/>
    <col min="10248" max="10248" width="14" customWidth="1"/>
    <col min="10249" max="10263" width="0" hidden="1" customWidth="1"/>
    <col min="10264" max="10264" width="11.5703125" customWidth="1"/>
    <col min="10265" max="10265" width="11.85546875" customWidth="1"/>
    <col min="10266" max="10266" width="15.7109375" customWidth="1"/>
    <col min="10267" max="10267" width="1.5703125" customWidth="1"/>
    <col min="10268" max="10268" width="10.5703125" customWidth="1"/>
    <col min="10269" max="10269" width="20.7109375" customWidth="1"/>
    <col min="10270" max="10270" width="2" customWidth="1"/>
    <col min="10271" max="10271" width="10.140625" customWidth="1"/>
    <col min="10272" max="10272" width="13.7109375" customWidth="1"/>
    <col min="10273" max="10273" width="16.5703125" customWidth="1"/>
    <col min="10274" max="10274" width="16" customWidth="1"/>
    <col min="10275" max="10484" width="9.42578125" customWidth="1"/>
    <col min="10485" max="10485" width="7.140625" customWidth="1"/>
    <col min="10486" max="10486" width="35.28515625" customWidth="1"/>
    <col min="10487" max="10487" width="6.7109375" customWidth="1"/>
    <col min="10488" max="10488" width="5.7109375" customWidth="1"/>
    <col min="10489" max="10489" width="5.85546875" customWidth="1"/>
    <col min="10490" max="10490" width="7.85546875" customWidth="1"/>
    <col min="10497" max="10497" width="7.140625" customWidth="1"/>
    <col min="10498" max="10498" width="39.42578125" customWidth="1"/>
    <col min="10499" max="10499" width="6.7109375" customWidth="1"/>
    <col min="10500" max="10500" width="5.7109375" customWidth="1"/>
    <col min="10501" max="10501" width="5.85546875" customWidth="1"/>
    <col min="10502" max="10502" width="7.85546875" customWidth="1"/>
    <col min="10503" max="10503" width="14.28515625" customWidth="1"/>
    <col min="10504" max="10504" width="14" customWidth="1"/>
    <col min="10505" max="10519" width="0" hidden="1" customWidth="1"/>
    <col min="10520" max="10520" width="11.5703125" customWidth="1"/>
    <col min="10521" max="10521" width="11.85546875" customWidth="1"/>
    <col min="10522" max="10522" width="15.7109375" customWidth="1"/>
    <col min="10523" max="10523" width="1.5703125" customWidth="1"/>
    <col min="10524" max="10524" width="10.5703125" customWidth="1"/>
    <col min="10525" max="10525" width="20.7109375" customWidth="1"/>
    <col min="10526" max="10526" width="2" customWidth="1"/>
    <col min="10527" max="10527" width="10.140625" customWidth="1"/>
    <col min="10528" max="10528" width="13.7109375" customWidth="1"/>
    <col min="10529" max="10529" width="16.5703125" customWidth="1"/>
    <col min="10530" max="10530" width="16" customWidth="1"/>
    <col min="10531" max="10740" width="9.42578125" customWidth="1"/>
    <col min="10741" max="10741" width="7.140625" customWidth="1"/>
    <col min="10742" max="10742" width="35.28515625" customWidth="1"/>
    <col min="10743" max="10743" width="6.7109375" customWidth="1"/>
    <col min="10744" max="10744" width="5.7109375" customWidth="1"/>
    <col min="10745" max="10745" width="5.85546875" customWidth="1"/>
    <col min="10746" max="10746" width="7.85546875" customWidth="1"/>
    <col min="10753" max="10753" width="7.140625" customWidth="1"/>
    <col min="10754" max="10754" width="39.42578125" customWidth="1"/>
    <col min="10755" max="10755" width="6.7109375" customWidth="1"/>
    <col min="10756" max="10756" width="5.7109375" customWidth="1"/>
    <col min="10757" max="10757" width="5.85546875" customWidth="1"/>
    <col min="10758" max="10758" width="7.85546875" customWidth="1"/>
    <col min="10759" max="10759" width="14.28515625" customWidth="1"/>
    <col min="10760" max="10760" width="14" customWidth="1"/>
    <col min="10761" max="10775" width="0" hidden="1" customWidth="1"/>
    <col min="10776" max="10776" width="11.5703125" customWidth="1"/>
    <col min="10777" max="10777" width="11.85546875" customWidth="1"/>
    <col min="10778" max="10778" width="15.7109375" customWidth="1"/>
    <col min="10779" max="10779" width="1.5703125" customWidth="1"/>
    <col min="10780" max="10780" width="10.5703125" customWidth="1"/>
    <col min="10781" max="10781" width="20.7109375" customWidth="1"/>
    <col min="10782" max="10782" width="2" customWidth="1"/>
    <col min="10783" max="10783" width="10.140625" customWidth="1"/>
    <col min="10784" max="10784" width="13.7109375" customWidth="1"/>
    <col min="10785" max="10785" width="16.5703125" customWidth="1"/>
    <col min="10786" max="10786" width="16" customWidth="1"/>
    <col min="10787" max="10996" width="9.42578125" customWidth="1"/>
    <col min="10997" max="10997" width="7.140625" customWidth="1"/>
    <col min="10998" max="10998" width="35.28515625" customWidth="1"/>
    <col min="10999" max="10999" width="6.7109375" customWidth="1"/>
    <col min="11000" max="11000" width="5.7109375" customWidth="1"/>
    <col min="11001" max="11001" width="5.85546875" customWidth="1"/>
    <col min="11002" max="11002" width="7.85546875" customWidth="1"/>
    <col min="11009" max="11009" width="7.140625" customWidth="1"/>
    <col min="11010" max="11010" width="39.42578125" customWidth="1"/>
    <col min="11011" max="11011" width="6.7109375" customWidth="1"/>
    <col min="11012" max="11012" width="5.7109375" customWidth="1"/>
    <col min="11013" max="11013" width="5.85546875" customWidth="1"/>
    <col min="11014" max="11014" width="7.85546875" customWidth="1"/>
    <col min="11015" max="11015" width="14.28515625" customWidth="1"/>
    <col min="11016" max="11016" width="14" customWidth="1"/>
    <col min="11017" max="11031" width="0" hidden="1" customWidth="1"/>
    <col min="11032" max="11032" width="11.5703125" customWidth="1"/>
    <col min="11033" max="11033" width="11.85546875" customWidth="1"/>
    <col min="11034" max="11034" width="15.7109375" customWidth="1"/>
    <col min="11035" max="11035" width="1.5703125" customWidth="1"/>
    <col min="11036" max="11036" width="10.5703125" customWidth="1"/>
    <col min="11037" max="11037" width="20.7109375" customWidth="1"/>
    <col min="11038" max="11038" width="2" customWidth="1"/>
    <col min="11039" max="11039" width="10.140625" customWidth="1"/>
    <col min="11040" max="11040" width="13.7109375" customWidth="1"/>
    <col min="11041" max="11041" width="16.5703125" customWidth="1"/>
    <col min="11042" max="11042" width="16" customWidth="1"/>
    <col min="11043" max="11252" width="9.42578125" customWidth="1"/>
    <col min="11253" max="11253" width="7.140625" customWidth="1"/>
    <col min="11254" max="11254" width="35.28515625" customWidth="1"/>
    <col min="11255" max="11255" width="6.7109375" customWidth="1"/>
    <col min="11256" max="11256" width="5.7109375" customWidth="1"/>
    <col min="11257" max="11257" width="5.85546875" customWidth="1"/>
    <col min="11258" max="11258" width="7.85546875" customWidth="1"/>
    <col min="11265" max="11265" width="7.140625" customWidth="1"/>
    <col min="11266" max="11266" width="39.42578125" customWidth="1"/>
    <col min="11267" max="11267" width="6.7109375" customWidth="1"/>
    <col min="11268" max="11268" width="5.7109375" customWidth="1"/>
    <col min="11269" max="11269" width="5.85546875" customWidth="1"/>
    <col min="11270" max="11270" width="7.85546875" customWidth="1"/>
    <col min="11271" max="11271" width="14.28515625" customWidth="1"/>
    <col min="11272" max="11272" width="14" customWidth="1"/>
    <col min="11273" max="11287" width="0" hidden="1" customWidth="1"/>
    <col min="11288" max="11288" width="11.5703125" customWidth="1"/>
    <col min="11289" max="11289" width="11.85546875" customWidth="1"/>
    <col min="11290" max="11290" width="15.7109375" customWidth="1"/>
    <col min="11291" max="11291" width="1.5703125" customWidth="1"/>
    <col min="11292" max="11292" width="10.5703125" customWidth="1"/>
    <col min="11293" max="11293" width="20.7109375" customWidth="1"/>
    <col min="11294" max="11294" width="2" customWidth="1"/>
    <col min="11295" max="11295" width="10.140625" customWidth="1"/>
    <col min="11296" max="11296" width="13.7109375" customWidth="1"/>
    <col min="11297" max="11297" width="16.5703125" customWidth="1"/>
    <col min="11298" max="11298" width="16" customWidth="1"/>
    <col min="11299" max="11508" width="9.42578125" customWidth="1"/>
    <col min="11509" max="11509" width="7.140625" customWidth="1"/>
    <col min="11510" max="11510" width="35.28515625" customWidth="1"/>
    <col min="11511" max="11511" width="6.7109375" customWidth="1"/>
    <col min="11512" max="11512" width="5.7109375" customWidth="1"/>
    <col min="11513" max="11513" width="5.85546875" customWidth="1"/>
    <col min="11514" max="11514" width="7.85546875" customWidth="1"/>
    <col min="11521" max="11521" width="7.140625" customWidth="1"/>
    <col min="11522" max="11522" width="39.42578125" customWidth="1"/>
    <col min="11523" max="11523" width="6.7109375" customWidth="1"/>
    <col min="11524" max="11524" width="5.7109375" customWidth="1"/>
    <col min="11525" max="11525" width="5.85546875" customWidth="1"/>
    <col min="11526" max="11526" width="7.85546875" customWidth="1"/>
    <col min="11527" max="11527" width="14.28515625" customWidth="1"/>
    <col min="11528" max="11528" width="14" customWidth="1"/>
    <col min="11529" max="11543" width="0" hidden="1" customWidth="1"/>
    <col min="11544" max="11544" width="11.5703125" customWidth="1"/>
    <col min="11545" max="11545" width="11.85546875" customWidth="1"/>
    <col min="11546" max="11546" width="15.7109375" customWidth="1"/>
    <col min="11547" max="11547" width="1.5703125" customWidth="1"/>
    <col min="11548" max="11548" width="10.5703125" customWidth="1"/>
    <col min="11549" max="11549" width="20.7109375" customWidth="1"/>
    <col min="11550" max="11550" width="2" customWidth="1"/>
    <col min="11551" max="11551" width="10.140625" customWidth="1"/>
    <col min="11552" max="11552" width="13.7109375" customWidth="1"/>
    <col min="11553" max="11553" width="16.5703125" customWidth="1"/>
    <col min="11554" max="11554" width="16" customWidth="1"/>
    <col min="11555" max="11764" width="9.42578125" customWidth="1"/>
    <col min="11765" max="11765" width="7.140625" customWidth="1"/>
    <col min="11766" max="11766" width="35.28515625" customWidth="1"/>
    <col min="11767" max="11767" width="6.7109375" customWidth="1"/>
    <col min="11768" max="11768" width="5.7109375" customWidth="1"/>
    <col min="11769" max="11769" width="5.85546875" customWidth="1"/>
    <col min="11770" max="11770" width="7.85546875" customWidth="1"/>
    <col min="11777" max="11777" width="7.140625" customWidth="1"/>
    <col min="11778" max="11778" width="39.42578125" customWidth="1"/>
    <col min="11779" max="11779" width="6.7109375" customWidth="1"/>
    <col min="11780" max="11780" width="5.7109375" customWidth="1"/>
    <col min="11781" max="11781" width="5.85546875" customWidth="1"/>
    <col min="11782" max="11782" width="7.85546875" customWidth="1"/>
    <col min="11783" max="11783" width="14.28515625" customWidth="1"/>
    <col min="11784" max="11784" width="14" customWidth="1"/>
    <col min="11785" max="11799" width="0" hidden="1" customWidth="1"/>
    <col min="11800" max="11800" width="11.5703125" customWidth="1"/>
    <col min="11801" max="11801" width="11.85546875" customWidth="1"/>
    <col min="11802" max="11802" width="15.7109375" customWidth="1"/>
    <col min="11803" max="11803" width="1.5703125" customWidth="1"/>
    <col min="11804" max="11804" width="10.5703125" customWidth="1"/>
    <col min="11805" max="11805" width="20.7109375" customWidth="1"/>
    <col min="11806" max="11806" width="2" customWidth="1"/>
    <col min="11807" max="11807" width="10.140625" customWidth="1"/>
    <col min="11808" max="11808" width="13.7109375" customWidth="1"/>
    <col min="11809" max="11809" width="16.5703125" customWidth="1"/>
    <col min="11810" max="11810" width="16" customWidth="1"/>
    <col min="11811" max="12020" width="9.42578125" customWidth="1"/>
    <col min="12021" max="12021" width="7.140625" customWidth="1"/>
    <col min="12022" max="12022" width="35.28515625" customWidth="1"/>
    <col min="12023" max="12023" width="6.7109375" customWidth="1"/>
    <col min="12024" max="12024" width="5.7109375" customWidth="1"/>
    <col min="12025" max="12025" width="5.85546875" customWidth="1"/>
    <col min="12026" max="12026" width="7.85546875" customWidth="1"/>
    <col min="12033" max="12033" width="7.140625" customWidth="1"/>
    <col min="12034" max="12034" width="39.42578125" customWidth="1"/>
    <col min="12035" max="12035" width="6.7109375" customWidth="1"/>
    <col min="12036" max="12036" width="5.7109375" customWidth="1"/>
    <col min="12037" max="12037" width="5.85546875" customWidth="1"/>
    <col min="12038" max="12038" width="7.85546875" customWidth="1"/>
    <col min="12039" max="12039" width="14.28515625" customWidth="1"/>
    <col min="12040" max="12040" width="14" customWidth="1"/>
    <col min="12041" max="12055" width="0" hidden="1" customWidth="1"/>
    <col min="12056" max="12056" width="11.5703125" customWidth="1"/>
    <col min="12057" max="12057" width="11.85546875" customWidth="1"/>
    <col min="12058" max="12058" width="15.7109375" customWidth="1"/>
    <col min="12059" max="12059" width="1.5703125" customWidth="1"/>
    <col min="12060" max="12060" width="10.5703125" customWidth="1"/>
    <col min="12061" max="12061" width="20.7109375" customWidth="1"/>
    <col min="12062" max="12062" width="2" customWidth="1"/>
    <col min="12063" max="12063" width="10.140625" customWidth="1"/>
    <col min="12064" max="12064" width="13.7109375" customWidth="1"/>
    <col min="12065" max="12065" width="16.5703125" customWidth="1"/>
    <col min="12066" max="12066" width="16" customWidth="1"/>
    <col min="12067" max="12276" width="9.42578125" customWidth="1"/>
    <col min="12277" max="12277" width="7.140625" customWidth="1"/>
    <col min="12278" max="12278" width="35.28515625" customWidth="1"/>
    <col min="12279" max="12279" width="6.7109375" customWidth="1"/>
    <col min="12280" max="12280" width="5.7109375" customWidth="1"/>
    <col min="12281" max="12281" width="5.85546875" customWidth="1"/>
    <col min="12282" max="12282" width="7.85546875" customWidth="1"/>
    <col min="12289" max="12289" width="7.140625" customWidth="1"/>
    <col min="12290" max="12290" width="39.42578125" customWidth="1"/>
    <col min="12291" max="12291" width="6.7109375" customWidth="1"/>
    <col min="12292" max="12292" width="5.7109375" customWidth="1"/>
    <col min="12293" max="12293" width="5.85546875" customWidth="1"/>
    <col min="12294" max="12294" width="7.85546875" customWidth="1"/>
    <col min="12295" max="12295" width="14.28515625" customWidth="1"/>
    <col min="12296" max="12296" width="14" customWidth="1"/>
    <col min="12297" max="12311" width="0" hidden="1" customWidth="1"/>
    <col min="12312" max="12312" width="11.5703125" customWidth="1"/>
    <col min="12313" max="12313" width="11.85546875" customWidth="1"/>
    <col min="12314" max="12314" width="15.7109375" customWidth="1"/>
    <col min="12315" max="12315" width="1.5703125" customWidth="1"/>
    <col min="12316" max="12316" width="10.5703125" customWidth="1"/>
    <col min="12317" max="12317" width="20.7109375" customWidth="1"/>
    <col min="12318" max="12318" width="2" customWidth="1"/>
    <col min="12319" max="12319" width="10.140625" customWidth="1"/>
    <col min="12320" max="12320" width="13.7109375" customWidth="1"/>
    <col min="12321" max="12321" width="16.5703125" customWidth="1"/>
    <col min="12322" max="12322" width="16" customWidth="1"/>
    <col min="12323" max="12532" width="9.42578125" customWidth="1"/>
    <col min="12533" max="12533" width="7.140625" customWidth="1"/>
    <col min="12534" max="12534" width="35.28515625" customWidth="1"/>
    <col min="12535" max="12535" width="6.7109375" customWidth="1"/>
    <col min="12536" max="12536" width="5.7109375" customWidth="1"/>
    <col min="12537" max="12537" width="5.85546875" customWidth="1"/>
    <col min="12538" max="12538" width="7.85546875" customWidth="1"/>
    <col min="12545" max="12545" width="7.140625" customWidth="1"/>
    <col min="12546" max="12546" width="39.42578125" customWidth="1"/>
    <col min="12547" max="12547" width="6.7109375" customWidth="1"/>
    <col min="12548" max="12548" width="5.7109375" customWidth="1"/>
    <col min="12549" max="12549" width="5.85546875" customWidth="1"/>
    <col min="12550" max="12550" width="7.85546875" customWidth="1"/>
    <col min="12551" max="12551" width="14.28515625" customWidth="1"/>
    <col min="12552" max="12552" width="14" customWidth="1"/>
    <col min="12553" max="12567" width="0" hidden="1" customWidth="1"/>
    <col min="12568" max="12568" width="11.5703125" customWidth="1"/>
    <col min="12569" max="12569" width="11.85546875" customWidth="1"/>
    <col min="12570" max="12570" width="15.7109375" customWidth="1"/>
    <col min="12571" max="12571" width="1.5703125" customWidth="1"/>
    <col min="12572" max="12572" width="10.5703125" customWidth="1"/>
    <col min="12573" max="12573" width="20.7109375" customWidth="1"/>
    <col min="12574" max="12574" width="2" customWidth="1"/>
    <col min="12575" max="12575" width="10.140625" customWidth="1"/>
    <col min="12576" max="12576" width="13.7109375" customWidth="1"/>
    <col min="12577" max="12577" width="16.5703125" customWidth="1"/>
    <col min="12578" max="12578" width="16" customWidth="1"/>
    <col min="12579" max="12788" width="9.42578125" customWidth="1"/>
    <col min="12789" max="12789" width="7.140625" customWidth="1"/>
    <col min="12790" max="12790" width="35.28515625" customWidth="1"/>
    <col min="12791" max="12791" width="6.7109375" customWidth="1"/>
    <col min="12792" max="12792" width="5.7109375" customWidth="1"/>
    <col min="12793" max="12793" width="5.85546875" customWidth="1"/>
    <col min="12794" max="12794" width="7.85546875" customWidth="1"/>
    <col min="12801" max="12801" width="7.140625" customWidth="1"/>
    <col min="12802" max="12802" width="39.42578125" customWidth="1"/>
    <col min="12803" max="12803" width="6.7109375" customWidth="1"/>
    <col min="12804" max="12804" width="5.7109375" customWidth="1"/>
    <col min="12805" max="12805" width="5.85546875" customWidth="1"/>
    <col min="12806" max="12806" width="7.85546875" customWidth="1"/>
    <col min="12807" max="12807" width="14.28515625" customWidth="1"/>
    <col min="12808" max="12808" width="14" customWidth="1"/>
    <col min="12809" max="12823" width="0" hidden="1" customWidth="1"/>
    <col min="12824" max="12824" width="11.5703125" customWidth="1"/>
    <col min="12825" max="12825" width="11.85546875" customWidth="1"/>
    <col min="12826" max="12826" width="15.7109375" customWidth="1"/>
    <col min="12827" max="12827" width="1.5703125" customWidth="1"/>
    <col min="12828" max="12828" width="10.5703125" customWidth="1"/>
    <col min="12829" max="12829" width="20.7109375" customWidth="1"/>
    <col min="12830" max="12830" width="2" customWidth="1"/>
    <col min="12831" max="12831" width="10.140625" customWidth="1"/>
    <col min="12832" max="12832" width="13.7109375" customWidth="1"/>
    <col min="12833" max="12833" width="16.5703125" customWidth="1"/>
    <col min="12834" max="12834" width="16" customWidth="1"/>
    <col min="12835" max="13044" width="9.42578125" customWidth="1"/>
    <col min="13045" max="13045" width="7.140625" customWidth="1"/>
    <col min="13046" max="13046" width="35.28515625" customWidth="1"/>
    <col min="13047" max="13047" width="6.7109375" customWidth="1"/>
    <col min="13048" max="13048" width="5.7109375" customWidth="1"/>
    <col min="13049" max="13049" width="5.85546875" customWidth="1"/>
    <col min="13050" max="13050" width="7.85546875" customWidth="1"/>
    <col min="13057" max="13057" width="7.140625" customWidth="1"/>
    <col min="13058" max="13058" width="39.42578125" customWidth="1"/>
    <col min="13059" max="13059" width="6.7109375" customWidth="1"/>
    <col min="13060" max="13060" width="5.7109375" customWidth="1"/>
    <col min="13061" max="13061" width="5.85546875" customWidth="1"/>
    <col min="13062" max="13062" width="7.85546875" customWidth="1"/>
    <col min="13063" max="13063" width="14.28515625" customWidth="1"/>
    <col min="13064" max="13064" width="14" customWidth="1"/>
    <col min="13065" max="13079" width="0" hidden="1" customWidth="1"/>
    <col min="13080" max="13080" width="11.5703125" customWidth="1"/>
    <col min="13081" max="13081" width="11.85546875" customWidth="1"/>
    <col min="13082" max="13082" width="15.7109375" customWidth="1"/>
    <col min="13083" max="13083" width="1.5703125" customWidth="1"/>
    <col min="13084" max="13084" width="10.5703125" customWidth="1"/>
    <col min="13085" max="13085" width="20.7109375" customWidth="1"/>
    <col min="13086" max="13086" width="2" customWidth="1"/>
    <col min="13087" max="13087" width="10.140625" customWidth="1"/>
    <col min="13088" max="13088" width="13.7109375" customWidth="1"/>
    <col min="13089" max="13089" width="16.5703125" customWidth="1"/>
    <col min="13090" max="13090" width="16" customWidth="1"/>
    <col min="13091" max="13300" width="9.42578125" customWidth="1"/>
    <col min="13301" max="13301" width="7.140625" customWidth="1"/>
    <col min="13302" max="13302" width="35.28515625" customWidth="1"/>
    <col min="13303" max="13303" width="6.7109375" customWidth="1"/>
    <col min="13304" max="13304" width="5.7109375" customWidth="1"/>
    <col min="13305" max="13305" width="5.85546875" customWidth="1"/>
    <col min="13306" max="13306" width="7.85546875" customWidth="1"/>
    <col min="13313" max="13313" width="7.140625" customWidth="1"/>
    <col min="13314" max="13314" width="39.42578125" customWidth="1"/>
    <col min="13315" max="13315" width="6.7109375" customWidth="1"/>
    <col min="13316" max="13316" width="5.7109375" customWidth="1"/>
    <col min="13317" max="13317" width="5.85546875" customWidth="1"/>
    <col min="13318" max="13318" width="7.85546875" customWidth="1"/>
    <col min="13319" max="13319" width="14.28515625" customWidth="1"/>
    <col min="13320" max="13320" width="14" customWidth="1"/>
    <col min="13321" max="13335" width="0" hidden="1" customWidth="1"/>
    <col min="13336" max="13336" width="11.5703125" customWidth="1"/>
    <col min="13337" max="13337" width="11.85546875" customWidth="1"/>
    <col min="13338" max="13338" width="15.7109375" customWidth="1"/>
    <col min="13339" max="13339" width="1.5703125" customWidth="1"/>
    <col min="13340" max="13340" width="10.5703125" customWidth="1"/>
    <col min="13341" max="13341" width="20.7109375" customWidth="1"/>
    <col min="13342" max="13342" width="2" customWidth="1"/>
    <col min="13343" max="13343" width="10.140625" customWidth="1"/>
    <col min="13344" max="13344" width="13.7109375" customWidth="1"/>
    <col min="13345" max="13345" width="16.5703125" customWidth="1"/>
    <col min="13346" max="13346" width="16" customWidth="1"/>
    <col min="13347" max="13556" width="9.42578125" customWidth="1"/>
    <col min="13557" max="13557" width="7.140625" customWidth="1"/>
    <col min="13558" max="13558" width="35.28515625" customWidth="1"/>
    <col min="13559" max="13559" width="6.7109375" customWidth="1"/>
    <col min="13560" max="13560" width="5.7109375" customWidth="1"/>
    <col min="13561" max="13561" width="5.85546875" customWidth="1"/>
    <col min="13562" max="13562" width="7.85546875" customWidth="1"/>
    <col min="13569" max="13569" width="7.140625" customWidth="1"/>
    <col min="13570" max="13570" width="39.42578125" customWidth="1"/>
    <col min="13571" max="13571" width="6.7109375" customWidth="1"/>
    <col min="13572" max="13572" width="5.7109375" customWidth="1"/>
    <col min="13573" max="13573" width="5.85546875" customWidth="1"/>
    <col min="13574" max="13574" width="7.85546875" customWidth="1"/>
    <col min="13575" max="13575" width="14.28515625" customWidth="1"/>
    <col min="13576" max="13576" width="14" customWidth="1"/>
    <col min="13577" max="13591" width="0" hidden="1" customWidth="1"/>
    <col min="13592" max="13592" width="11.5703125" customWidth="1"/>
    <col min="13593" max="13593" width="11.85546875" customWidth="1"/>
    <col min="13594" max="13594" width="15.7109375" customWidth="1"/>
    <col min="13595" max="13595" width="1.5703125" customWidth="1"/>
    <col min="13596" max="13596" width="10.5703125" customWidth="1"/>
    <col min="13597" max="13597" width="20.7109375" customWidth="1"/>
    <col min="13598" max="13598" width="2" customWidth="1"/>
    <col min="13599" max="13599" width="10.140625" customWidth="1"/>
    <col min="13600" max="13600" width="13.7109375" customWidth="1"/>
    <col min="13601" max="13601" width="16.5703125" customWidth="1"/>
    <col min="13602" max="13602" width="16" customWidth="1"/>
    <col min="13603" max="13812" width="9.42578125" customWidth="1"/>
    <col min="13813" max="13813" width="7.140625" customWidth="1"/>
    <col min="13814" max="13814" width="35.28515625" customWidth="1"/>
    <col min="13815" max="13815" width="6.7109375" customWidth="1"/>
    <col min="13816" max="13816" width="5.7109375" customWidth="1"/>
    <col min="13817" max="13817" width="5.85546875" customWidth="1"/>
    <col min="13818" max="13818" width="7.85546875" customWidth="1"/>
    <col min="13825" max="13825" width="7.140625" customWidth="1"/>
    <col min="13826" max="13826" width="39.42578125" customWidth="1"/>
    <col min="13827" max="13827" width="6.7109375" customWidth="1"/>
    <col min="13828" max="13828" width="5.7109375" customWidth="1"/>
    <col min="13829" max="13829" width="5.85546875" customWidth="1"/>
    <col min="13830" max="13830" width="7.85546875" customWidth="1"/>
    <col min="13831" max="13831" width="14.28515625" customWidth="1"/>
    <col min="13832" max="13832" width="14" customWidth="1"/>
    <col min="13833" max="13847" width="0" hidden="1" customWidth="1"/>
    <col min="13848" max="13848" width="11.5703125" customWidth="1"/>
    <col min="13849" max="13849" width="11.85546875" customWidth="1"/>
    <col min="13850" max="13850" width="15.7109375" customWidth="1"/>
    <col min="13851" max="13851" width="1.5703125" customWidth="1"/>
    <col min="13852" max="13852" width="10.5703125" customWidth="1"/>
    <col min="13853" max="13853" width="20.7109375" customWidth="1"/>
    <col min="13854" max="13854" width="2" customWidth="1"/>
    <col min="13855" max="13855" width="10.140625" customWidth="1"/>
    <col min="13856" max="13856" width="13.7109375" customWidth="1"/>
    <col min="13857" max="13857" width="16.5703125" customWidth="1"/>
    <col min="13858" max="13858" width="16" customWidth="1"/>
    <col min="13859" max="14068" width="9.42578125" customWidth="1"/>
    <col min="14069" max="14069" width="7.140625" customWidth="1"/>
    <col min="14070" max="14070" width="35.28515625" customWidth="1"/>
    <col min="14071" max="14071" width="6.7109375" customWidth="1"/>
    <col min="14072" max="14072" width="5.7109375" customWidth="1"/>
    <col min="14073" max="14073" width="5.85546875" customWidth="1"/>
    <col min="14074" max="14074" width="7.85546875" customWidth="1"/>
    <col min="14081" max="14081" width="7.140625" customWidth="1"/>
    <col min="14082" max="14082" width="39.42578125" customWidth="1"/>
    <col min="14083" max="14083" width="6.7109375" customWidth="1"/>
    <col min="14084" max="14084" width="5.7109375" customWidth="1"/>
    <col min="14085" max="14085" width="5.85546875" customWidth="1"/>
    <col min="14086" max="14086" width="7.85546875" customWidth="1"/>
    <col min="14087" max="14087" width="14.28515625" customWidth="1"/>
    <col min="14088" max="14088" width="14" customWidth="1"/>
    <col min="14089" max="14103" width="0" hidden="1" customWidth="1"/>
    <col min="14104" max="14104" width="11.5703125" customWidth="1"/>
    <col min="14105" max="14105" width="11.85546875" customWidth="1"/>
    <col min="14106" max="14106" width="15.7109375" customWidth="1"/>
    <col min="14107" max="14107" width="1.5703125" customWidth="1"/>
    <col min="14108" max="14108" width="10.5703125" customWidth="1"/>
    <col min="14109" max="14109" width="20.7109375" customWidth="1"/>
    <col min="14110" max="14110" width="2" customWidth="1"/>
    <col min="14111" max="14111" width="10.140625" customWidth="1"/>
    <col min="14112" max="14112" width="13.7109375" customWidth="1"/>
    <col min="14113" max="14113" width="16.5703125" customWidth="1"/>
    <col min="14114" max="14114" width="16" customWidth="1"/>
    <col min="14115" max="14324" width="9.42578125" customWidth="1"/>
    <col min="14325" max="14325" width="7.140625" customWidth="1"/>
    <col min="14326" max="14326" width="35.28515625" customWidth="1"/>
    <col min="14327" max="14327" width="6.7109375" customWidth="1"/>
    <col min="14328" max="14328" width="5.7109375" customWidth="1"/>
    <col min="14329" max="14329" width="5.85546875" customWidth="1"/>
    <col min="14330" max="14330" width="7.85546875" customWidth="1"/>
    <col min="14337" max="14337" width="7.140625" customWidth="1"/>
    <col min="14338" max="14338" width="39.42578125" customWidth="1"/>
    <col min="14339" max="14339" width="6.7109375" customWidth="1"/>
    <col min="14340" max="14340" width="5.7109375" customWidth="1"/>
    <col min="14341" max="14341" width="5.85546875" customWidth="1"/>
    <col min="14342" max="14342" width="7.85546875" customWidth="1"/>
    <col min="14343" max="14343" width="14.28515625" customWidth="1"/>
    <col min="14344" max="14344" width="14" customWidth="1"/>
    <col min="14345" max="14359" width="0" hidden="1" customWidth="1"/>
    <col min="14360" max="14360" width="11.5703125" customWidth="1"/>
    <col min="14361" max="14361" width="11.85546875" customWidth="1"/>
    <col min="14362" max="14362" width="15.7109375" customWidth="1"/>
    <col min="14363" max="14363" width="1.5703125" customWidth="1"/>
    <col min="14364" max="14364" width="10.5703125" customWidth="1"/>
    <col min="14365" max="14365" width="20.7109375" customWidth="1"/>
    <col min="14366" max="14366" width="2" customWidth="1"/>
    <col min="14367" max="14367" width="10.140625" customWidth="1"/>
    <col min="14368" max="14368" width="13.7109375" customWidth="1"/>
    <col min="14369" max="14369" width="16.5703125" customWidth="1"/>
    <col min="14370" max="14370" width="16" customWidth="1"/>
    <col min="14371" max="14580" width="9.42578125" customWidth="1"/>
    <col min="14581" max="14581" width="7.140625" customWidth="1"/>
    <col min="14582" max="14582" width="35.28515625" customWidth="1"/>
    <col min="14583" max="14583" width="6.7109375" customWidth="1"/>
    <col min="14584" max="14584" width="5.7109375" customWidth="1"/>
    <col min="14585" max="14585" width="5.85546875" customWidth="1"/>
    <col min="14586" max="14586" width="7.85546875" customWidth="1"/>
    <col min="14593" max="14593" width="7.140625" customWidth="1"/>
    <col min="14594" max="14594" width="39.42578125" customWidth="1"/>
    <col min="14595" max="14595" width="6.7109375" customWidth="1"/>
    <col min="14596" max="14596" width="5.7109375" customWidth="1"/>
    <col min="14597" max="14597" width="5.85546875" customWidth="1"/>
    <col min="14598" max="14598" width="7.85546875" customWidth="1"/>
    <col min="14599" max="14599" width="14.28515625" customWidth="1"/>
    <col min="14600" max="14600" width="14" customWidth="1"/>
    <col min="14601" max="14615" width="0" hidden="1" customWidth="1"/>
    <col min="14616" max="14616" width="11.5703125" customWidth="1"/>
    <col min="14617" max="14617" width="11.85546875" customWidth="1"/>
    <col min="14618" max="14618" width="15.7109375" customWidth="1"/>
    <col min="14619" max="14619" width="1.5703125" customWidth="1"/>
    <col min="14620" max="14620" width="10.5703125" customWidth="1"/>
    <col min="14621" max="14621" width="20.7109375" customWidth="1"/>
    <col min="14622" max="14622" width="2" customWidth="1"/>
    <col min="14623" max="14623" width="10.140625" customWidth="1"/>
    <col min="14624" max="14624" width="13.7109375" customWidth="1"/>
    <col min="14625" max="14625" width="16.5703125" customWidth="1"/>
    <col min="14626" max="14626" width="16" customWidth="1"/>
    <col min="14627" max="14836" width="9.42578125" customWidth="1"/>
    <col min="14837" max="14837" width="7.140625" customWidth="1"/>
    <col min="14838" max="14838" width="35.28515625" customWidth="1"/>
    <col min="14839" max="14839" width="6.7109375" customWidth="1"/>
    <col min="14840" max="14840" width="5.7109375" customWidth="1"/>
    <col min="14841" max="14841" width="5.85546875" customWidth="1"/>
    <col min="14842" max="14842" width="7.85546875" customWidth="1"/>
    <col min="14849" max="14849" width="7.140625" customWidth="1"/>
    <col min="14850" max="14850" width="39.42578125" customWidth="1"/>
    <col min="14851" max="14851" width="6.7109375" customWidth="1"/>
    <col min="14852" max="14852" width="5.7109375" customWidth="1"/>
    <col min="14853" max="14853" width="5.85546875" customWidth="1"/>
    <col min="14854" max="14854" width="7.85546875" customWidth="1"/>
    <col min="14855" max="14855" width="14.28515625" customWidth="1"/>
    <col min="14856" max="14856" width="14" customWidth="1"/>
    <col min="14857" max="14871" width="0" hidden="1" customWidth="1"/>
    <col min="14872" max="14872" width="11.5703125" customWidth="1"/>
    <col min="14873" max="14873" width="11.85546875" customWidth="1"/>
    <col min="14874" max="14874" width="15.7109375" customWidth="1"/>
    <col min="14875" max="14875" width="1.5703125" customWidth="1"/>
    <col min="14876" max="14876" width="10.5703125" customWidth="1"/>
    <col min="14877" max="14877" width="20.7109375" customWidth="1"/>
    <col min="14878" max="14878" width="2" customWidth="1"/>
    <col min="14879" max="14879" width="10.140625" customWidth="1"/>
    <col min="14880" max="14880" width="13.7109375" customWidth="1"/>
    <col min="14881" max="14881" width="16.5703125" customWidth="1"/>
    <col min="14882" max="14882" width="16" customWidth="1"/>
    <col min="14883" max="15092" width="9.42578125" customWidth="1"/>
    <col min="15093" max="15093" width="7.140625" customWidth="1"/>
    <col min="15094" max="15094" width="35.28515625" customWidth="1"/>
    <col min="15095" max="15095" width="6.7109375" customWidth="1"/>
    <col min="15096" max="15096" width="5.7109375" customWidth="1"/>
    <col min="15097" max="15097" width="5.85546875" customWidth="1"/>
    <col min="15098" max="15098" width="7.85546875" customWidth="1"/>
    <col min="15105" max="15105" width="7.140625" customWidth="1"/>
    <col min="15106" max="15106" width="39.42578125" customWidth="1"/>
    <col min="15107" max="15107" width="6.7109375" customWidth="1"/>
    <col min="15108" max="15108" width="5.7109375" customWidth="1"/>
    <col min="15109" max="15109" width="5.85546875" customWidth="1"/>
    <col min="15110" max="15110" width="7.85546875" customWidth="1"/>
    <col min="15111" max="15111" width="14.28515625" customWidth="1"/>
    <col min="15112" max="15112" width="14" customWidth="1"/>
    <col min="15113" max="15127" width="0" hidden="1" customWidth="1"/>
    <col min="15128" max="15128" width="11.5703125" customWidth="1"/>
    <col min="15129" max="15129" width="11.85546875" customWidth="1"/>
    <col min="15130" max="15130" width="15.7109375" customWidth="1"/>
    <col min="15131" max="15131" width="1.5703125" customWidth="1"/>
    <col min="15132" max="15132" width="10.5703125" customWidth="1"/>
    <col min="15133" max="15133" width="20.7109375" customWidth="1"/>
    <col min="15134" max="15134" width="2" customWidth="1"/>
    <col min="15135" max="15135" width="10.140625" customWidth="1"/>
    <col min="15136" max="15136" width="13.7109375" customWidth="1"/>
    <col min="15137" max="15137" width="16.5703125" customWidth="1"/>
    <col min="15138" max="15138" width="16" customWidth="1"/>
    <col min="15139" max="15348" width="9.42578125" customWidth="1"/>
    <col min="15349" max="15349" width="7.140625" customWidth="1"/>
    <col min="15350" max="15350" width="35.28515625" customWidth="1"/>
    <col min="15351" max="15351" width="6.7109375" customWidth="1"/>
    <col min="15352" max="15352" width="5.7109375" customWidth="1"/>
    <col min="15353" max="15353" width="5.85546875" customWidth="1"/>
    <col min="15354" max="15354" width="7.85546875" customWidth="1"/>
    <col min="15361" max="15361" width="7.140625" customWidth="1"/>
    <col min="15362" max="15362" width="39.42578125" customWidth="1"/>
    <col min="15363" max="15363" width="6.7109375" customWidth="1"/>
    <col min="15364" max="15364" width="5.7109375" customWidth="1"/>
    <col min="15365" max="15365" width="5.85546875" customWidth="1"/>
    <col min="15366" max="15366" width="7.85546875" customWidth="1"/>
    <col min="15367" max="15367" width="14.28515625" customWidth="1"/>
    <col min="15368" max="15368" width="14" customWidth="1"/>
    <col min="15369" max="15383" width="0" hidden="1" customWidth="1"/>
    <col min="15384" max="15384" width="11.5703125" customWidth="1"/>
    <col min="15385" max="15385" width="11.85546875" customWidth="1"/>
    <col min="15386" max="15386" width="15.7109375" customWidth="1"/>
    <col min="15387" max="15387" width="1.5703125" customWidth="1"/>
    <col min="15388" max="15388" width="10.5703125" customWidth="1"/>
    <col min="15389" max="15389" width="20.7109375" customWidth="1"/>
    <col min="15390" max="15390" width="2" customWidth="1"/>
    <col min="15391" max="15391" width="10.140625" customWidth="1"/>
    <col min="15392" max="15392" width="13.7109375" customWidth="1"/>
    <col min="15393" max="15393" width="16.5703125" customWidth="1"/>
    <col min="15394" max="15394" width="16" customWidth="1"/>
    <col min="15395" max="15604" width="9.42578125" customWidth="1"/>
    <col min="15605" max="15605" width="7.140625" customWidth="1"/>
    <col min="15606" max="15606" width="35.28515625" customWidth="1"/>
    <col min="15607" max="15607" width="6.7109375" customWidth="1"/>
    <col min="15608" max="15608" width="5.7109375" customWidth="1"/>
    <col min="15609" max="15609" width="5.85546875" customWidth="1"/>
    <col min="15610" max="15610" width="7.85546875" customWidth="1"/>
    <col min="15617" max="15617" width="7.140625" customWidth="1"/>
    <col min="15618" max="15618" width="39.42578125" customWidth="1"/>
    <col min="15619" max="15619" width="6.7109375" customWidth="1"/>
    <col min="15620" max="15620" width="5.7109375" customWidth="1"/>
    <col min="15621" max="15621" width="5.85546875" customWidth="1"/>
    <col min="15622" max="15622" width="7.85546875" customWidth="1"/>
    <col min="15623" max="15623" width="14.28515625" customWidth="1"/>
    <col min="15624" max="15624" width="14" customWidth="1"/>
    <col min="15625" max="15639" width="0" hidden="1" customWidth="1"/>
    <col min="15640" max="15640" width="11.5703125" customWidth="1"/>
    <col min="15641" max="15641" width="11.85546875" customWidth="1"/>
    <col min="15642" max="15642" width="15.7109375" customWidth="1"/>
    <col min="15643" max="15643" width="1.5703125" customWidth="1"/>
    <col min="15644" max="15644" width="10.5703125" customWidth="1"/>
    <col min="15645" max="15645" width="20.7109375" customWidth="1"/>
    <col min="15646" max="15646" width="2" customWidth="1"/>
    <col min="15647" max="15647" width="10.140625" customWidth="1"/>
    <col min="15648" max="15648" width="13.7109375" customWidth="1"/>
    <col min="15649" max="15649" width="16.5703125" customWidth="1"/>
    <col min="15650" max="15650" width="16" customWidth="1"/>
    <col min="15651" max="15860" width="9.42578125" customWidth="1"/>
    <col min="15861" max="15861" width="7.140625" customWidth="1"/>
    <col min="15862" max="15862" width="35.28515625" customWidth="1"/>
    <col min="15863" max="15863" width="6.7109375" customWidth="1"/>
    <col min="15864" max="15864" width="5.7109375" customWidth="1"/>
    <col min="15865" max="15865" width="5.85546875" customWidth="1"/>
    <col min="15866" max="15866" width="7.85546875" customWidth="1"/>
    <col min="15873" max="15873" width="7.140625" customWidth="1"/>
    <col min="15874" max="15874" width="39.42578125" customWidth="1"/>
    <col min="15875" max="15875" width="6.7109375" customWidth="1"/>
    <col min="15876" max="15876" width="5.7109375" customWidth="1"/>
    <col min="15877" max="15877" width="5.85546875" customWidth="1"/>
    <col min="15878" max="15878" width="7.85546875" customWidth="1"/>
    <col min="15879" max="15879" width="14.28515625" customWidth="1"/>
    <col min="15880" max="15880" width="14" customWidth="1"/>
    <col min="15881" max="15895" width="0" hidden="1" customWidth="1"/>
    <col min="15896" max="15896" width="11.5703125" customWidth="1"/>
    <col min="15897" max="15897" width="11.85546875" customWidth="1"/>
    <col min="15898" max="15898" width="15.7109375" customWidth="1"/>
    <col min="15899" max="15899" width="1.5703125" customWidth="1"/>
    <col min="15900" max="15900" width="10.5703125" customWidth="1"/>
    <col min="15901" max="15901" width="20.7109375" customWidth="1"/>
    <col min="15902" max="15902" width="2" customWidth="1"/>
    <col min="15903" max="15903" width="10.140625" customWidth="1"/>
    <col min="15904" max="15904" width="13.7109375" customWidth="1"/>
    <col min="15905" max="15905" width="16.5703125" customWidth="1"/>
    <col min="15906" max="15906" width="16" customWidth="1"/>
    <col min="15907" max="16116" width="9.42578125" customWidth="1"/>
    <col min="16117" max="16117" width="7.140625" customWidth="1"/>
    <col min="16118" max="16118" width="35.28515625" customWidth="1"/>
    <col min="16119" max="16119" width="6.7109375" customWidth="1"/>
    <col min="16120" max="16120" width="5.7109375" customWidth="1"/>
    <col min="16121" max="16121" width="5.85546875" customWidth="1"/>
    <col min="16122" max="16122" width="7.85546875" customWidth="1"/>
    <col min="16129" max="16129" width="7.140625" customWidth="1"/>
    <col min="16130" max="16130" width="39.42578125" customWidth="1"/>
    <col min="16131" max="16131" width="6.7109375" customWidth="1"/>
    <col min="16132" max="16132" width="5.7109375" customWidth="1"/>
    <col min="16133" max="16133" width="5.85546875" customWidth="1"/>
    <col min="16134" max="16134" width="7.85546875" customWidth="1"/>
    <col min="16135" max="16135" width="14.28515625" customWidth="1"/>
    <col min="16136" max="16136" width="14" customWidth="1"/>
    <col min="16137" max="16151" width="0" hidden="1" customWidth="1"/>
    <col min="16152" max="16152" width="11.5703125" customWidth="1"/>
    <col min="16153" max="16153" width="11.85546875" customWidth="1"/>
    <col min="16154" max="16154" width="15.7109375" customWidth="1"/>
    <col min="16155" max="16155" width="1.5703125" customWidth="1"/>
    <col min="16156" max="16156" width="10.5703125" customWidth="1"/>
    <col min="16157" max="16157" width="20.7109375" customWidth="1"/>
    <col min="16158" max="16158" width="2" customWidth="1"/>
    <col min="16159" max="16159" width="10.140625" customWidth="1"/>
    <col min="16160" max="16160" width="13.7109375" customWidth="1"/>
    <col min="16161" max="16161" width="16.5703125" customWidth="1"/>
    <col min="16162" max="16162" width="16" customWidth="1"/>
    <col min="16163" max="16372" width="9.42578125" customWidth="1"/>
    <col min="16373" max="16373" width="7.140625" customWidth="1"/>
    <col min="16374" max="16374" width="35.28515625" customWidth="1"/>
    <col min="16375" max="16375" width="6.7109375" customWidth="1"/>
    <col min="16376" max="16376" width="5.7109375" customWidth="1"/>
    <col min="16377" max="16377" width="5.85546875" customWidth="1"/>
    <col min="16378" max="16378" width="7.85546875" customWidth="1"/>
  </cols>
  <sheetData>
    <row r="2" spans="1:29" ht="15.75" x14ac:dyDescent="0.25">
      <c r="A2" s="1" t="s">
        <v>94</v>
      </c>
      <c r="B2" s="1"/>
      <c r="C2" s="2"/>
      <c r="D2" s="2"/>
      <c r="E2" s="2"/>
      <c r="F2" s="2"/>
      <c r="G2" s="3"/>
    </row>
    <row r="3" spans="1:29" ht="15.75" x14ac:dyDescent="0.25">
      <c r="A3" s="5" t="s">
        <v>95</v>
      </c>
      <c r="B3" s="5"/>
      <c r="C3" s="5"/>
      <c r="D3" s="2"/>
      <c r="E3" s="2"/>
      <c r="F3" s="2"/>
      <c r="G3" s="2"/>
      <c r="K3" s="6"/>
      <c r="Q3" s="6"/>
      <c r="T3" s="6"/>
      <c r="AB3" s="7"/>
      <c r="AC3" s="7"/>
    </row>
    <row r="4" spans="1:29" ht="15.75" thickBot="1" x14ac:dyDescent="0.3">
      <c r="AB4" s="7"/>
      <c r="AC4" s="7"/>
    </row>
    <row r="5" spans="1:29" ht="19.5" thickBot="1" x14ac:dyDescent="0.3">
      <c r="A5" s="8" t="s">
        <v>0</v>
      </c>
      <c r="B5" s="8" t="s">
        <v>1</v>
      </c>
      <c r="C5" s="328" t="s">
        <v>2</v>
      </c>
      <c r="D5" s="328"/>
      <c r="E5" s="328"/>
      <c r="F5" s="335" t="s">
        <v>96</v>
      </c>
      <c r="G5" s="335"/>
      <c r="H5" s="335"/>
      <c r="I5" s="9"/>
      <c r="J5" s="334" t="s">
        <v>88</v>
      </c>
      <c r="K5" s="334"/>
      <c r="L5" s="9"/>
      <c r="M5" s="329" t="s">
        <v>5</v>
      </c>
      <c r="N5" s="329"/>
    </row>
    <row r="6" spans="1:29" ht="45.75" thickBot="1" x14ac:dyDescent="0.3">
      <c r="A6" s="10"/>
      <c r="B6" s="10"/>
      <c r="C6" s="11" t="s">
        <v>6</v>
      </c>
      <c r="D6" s="12" t="s">
        <v>7</v>
      </c>
      <c r="E6" s="249" t="s">
        <v>8</v>
      </c>
      <c r="F6" s="16" t="s">
        <v>9</v>
      </c>
      <c r="G6" s="17" t="s">
        <v>10</v>
      </c>
      <c r="H6" s="15" t="s">
        <v>11</v>
      </c>
      <c r="I6" s="18"/>
      <c r="J6" s="19" t="s">
        <v>10</v>
      </c>
      <c r="K6" s="15" t="s">
        <v>11</v>
      </c>
      <c r="L6" s="20"/>
      <c r="M6" s="21" t="s">
        <v>12</v>
      </c>
      <c r="N6" s="15" t="s">
        <v>13</v>
      </c>
    </row>
    <row r="7" spans="1:29" x14ac:dyDescent="0.25">
      <c r="A7" s="22"/>
      <c r="B7" s="23"/>
      <c r="C7" s="24"/>
      <c r="D7" s="25"/>
      <c r="E7" s="26"/>
      <c r="F7" s="24"/>
      <c r="G7" s="29"/>
      <c r="H7" s="30"/>
      <c r="J7" s="24"/>
      <c r="K7" s="31"/>
      <c r="L7"/>
      <c r="M7" s="23"/>
      <c r="N7" s="30"/>
    </row>
    <row r="8" spans="1:29" x14ac:dyDescent="0.25">
      <c r="A8" s="32">
        <v>1</v>
      </c>
      <c r="B8" s="33" t="s">
        <v>14</v>
      </c>
      <c r="C8" s="34">
        <v>2</v>
      </c>
      <c r="D8" s="35">
        <v>1</v>
      </c>
      <c r="E8" s="36">
        <f t="shared" ref="E8:E27" si="0">C8+D8</f>
        <v>3</v>
      </c>
      <c r="F8" s="34">
        <v>3</v>
      </c>
      <c r="G8" s="35">
        <v>99.5</v>
      </c>
      <c r="H8" s="39">
        <v>5403084</v>
      </c>
      <c r="J8" s="40"/>
      <c r="K8" s="41"/>
      <c r="L8"/>
      <c r="M8" s="42" t="e">
        <f t="shared" ref="M8:N14" si="1">G8/J8</f>
        <v>#DIV/0!</v>
      </c>
      <c r="N8" s="43" t="e">
        <f t="shared" si="1"/>
        <v>#DIV/0!</v>
      </c>
    </row>
    <row r="9" spans="1:29" x14ac:dyDescent="0.25">
      <c r="A9" s="32">
        <f>A8+1</f>
        <v>2</v>
      </c>
      <c r="B9" s="33" t="s">
        <v>15</v>
      </c>
      <c r="C9" s="34">
        <v>6</v>
      </c>
      <c r="D9" s="35"/>
      <c r="E9" s="36">
        <f t="shared" si="0"/>
        <v>6</v>
      </c>
      <c r="F9" s="34">
        <v>3</v>
      </c>
      <c r="G9" s="35">
        <v>147.5</v>
      </c>
      <c r="H9" s="39">
        <v>8029023.5</v>
      </c>
      <c r="J9" s="40"/>
      <c r="K9" s="41"/>
      <c r="L9"/>
      <c r="M9" s="42" t="e">
        <f t="shared" si="1"/>
        <v>#DIV/0!</v>
      </c>
      <c r="N9" s="43" t="e">
        <f t="shared" si="1"/>
        <v>#DIV/0!</v>
      </c>
    </row>
    <row r="10" spans="1:29" x14ac:dyDescent="0.25">
      <c r="A10" s="32">
        <f t="shared" ref="A10:A27" si="2">A9+1</f>
        <v>3</v>
      </c>
      <c r="B10" s="33" t="s">
        <v>16</v>
      </c>
      <c r="C10" s="34">
        <v>8</v>
      </c>
      <c r="D10" s="35">
        <v>3</v>
      </c>
      <c r="E10" s="36">
        <f t="shared" si="0"/>
        <v>11</v>
      </c>
      <c r="F10" s="34">
        <v>8</v>
      </c>
      <c r="G10" s="35">
        <v>215.5</v>
      </c>
      <c r="H10" s="39">
        <v>10412177.5</v>
      </c>
      <c r="J10" s="40"/>
      <c r="K10" s="41"/>
      <c r="L10"/>
      <c r="M10" s="42" t="e">
        <f t="shared" si="1"/>
        <v>#DIV/0!</v>
      </c>
      <c r="N10" s="43" t="e">
        <f t="shared" si="1"/>
        <v>#DIV/0!</v>
      </c>
    </row>
    <row r="11" spans="1:29" x14ac:dyDescent="0.25">
      <c r="A11" s="32">
        <f t="shared" si="2"/>
        <v>4</v>
      </c>
      <c r="B11" s="44" t="s">
        <v>17</v>
      </c>
      <c r="C11" s="45">
        <v>3</v>
      </c>
      <c r="D11" s="46">
        <v>7</v>
      </c>
      <c r="E11" s="36">
        <f t="shared" si="0"/>
        <v>10</v>
      </c>
      <c r="F11" s="34">
        <v>4</v>
      </c>
      <c r="G11" s="35">
        <v>51</v>
      </c>
      <c r="H11" s="39">
        <v>2428661</v>
      </c>
      <c r="J11" s="40"/>
      <c r="K11" s="41"/>
      <c r="L11"/>
      <c r="M11" s="42" t="e">
        <f t="shared" si="1"/>
        <v>#DIV/0!</v>
      </c>
      <c r="N11" s="43" t="e">
        <f t="shared" si="1"/>
        <v>#DIV/0!</v>
      </c>
      <c r="P11" s="47"/>
    </row>
    <row r="12" spans="1:29" x14ac:dyDescent="0.25">
      <c r="A12" s="32">
        <f t="shared" si="2"/>
        <v>5</v>
      </c>
      <c r="B12" s="33" t="s">
        <v>18</v>
      </c>
      <c r="C12" s="34"/>
      <c r="D12" s="35"/>
      <c r="E12" s="36">
        <f t="shared" si="0"/>
        <v>0</v>
      </c>
      <c r="F12" s="34"/>
      <c r="G12" s="35"/>
      <c r="H12" s="39"/>
      <c r="J12" s="40"/>
      <c r="K12" s="41"/>
      <c r="L12"/>
      <c r="M12" s="42" t="e">
        <f t="shared" si="1"/>
        <v>#DIV/0!</v>
      </c>
      <c r="N12" s="43" t="e">
        <f t="shared" si="1"/>
        <v>#DIV/0!</v>
      </c>
      <c r="P12" s="47"/>
    </row>
    <row r="13" spans="1:29" x14ac:dyDescent="0.25">
      <c r="A13" s="32">
        <f t="shared" si="2"/>
        <v>6</v>
      </c>
      <c r="B13" s="33" t="s">
        <v>19</v>
      </c>
      <c r="C13" s="34"/>
      <c r="D13" s="35"/>
      <c r="E13" s="36">
        <f t="shared" si="0"/>
        <v>0</v>
      </c>
      <c r="F13" s="34"/>
      <c r="G13" s="35"/>
      <c r="H13" s="39"/>
      <c r="I13" s="48"/>
      <c r="J13" s="40"/>
      <c r="K13" s="41"/>
      <c r="L13" s="48"/>
      <c r="M13" s="42" t="e">
        <f t="shared" si="1"/>
        <v>#DIV/0!</v>
      </c>
      <c r="N13" s="43" t="e">
        <f t="shared" si="1"/>
        <v>#DIV/0!</v>
      </c>
      <c r="P13" s="47"/>
    </row>
    <row r="14" spans="1:29" x14ac:dyDescent="0.25">
      <c r="A14" s="32">
        <f t="shared" si="2"/>
        <v>7</v>
      </c>
      <c r="B14" s="33" t="s">
        <v>20</v>
      </c>
      <c r="C14" s="34"/>
      <c r="D14" s="35"/>
      <c r="E14" s="36">
        <f t="shared" si="0"/>
        <v>0</v>
      </c>
      <c r="F14" s="34"/>
      <c r="G14" s="35"/>
      <c r="H14" s="39"/>
      <c r="I14" s="48"/>
      <c r="J14" s="40"/>
      <c r="K14" s="41"/>
      <c r="L14" s="48"/>
      <c r="M14" s="42" t="e">
        <f t="shared" si="1"/>
        <v>#DIV/0!</v>
      </c>
      <c r="N14" s="43" t="e">
        <f t="shared" si="1"/>
        <v>#DIV/0!</v>
      </c>
      <c r="P14" s="47"/>
    </row>
    <row r="15" spans="1:29" x14ac:dyDescent="0.25">
      <c r="A15" s="32">
        <f t="shared" si="2"/>
        <v>8</v>
      </c>
      <c r="B15" s="33" t="s">
        <v>21</v>
      </c>
      <c r="C15" s="34">
        <v>4</v>
      </c>
      <c r="D15" s="35">
        <v>1</v>
      </c>
      <c r="E15" s="36">
        <f t="shared" si="0"/>
        <v>5</v>
      </c>
      <c r="F15" s="34">
        <v>3</v>
      </c>
      <c r="G15" s="35">
        <v>90.5</v>
      </c>
      <c r="H15" s="39">
        <v>4817764</v>
      </c>
      <c r="I15" s="48"/>
      <c r="J15" s="40"/>
      <c r="K15" s="41"/>
      <c r="L15" s="48"/>
      <c r="M15" s="49" t="e">
        <f>(G15+G16)/J15</f>
        <v>#DIV/0!</v>
      </c>
      <c r="N15" s="50" t="e">
        <f>(H15+H16)/K15</f>
        <v>#DIV/0!</v>
      </c>
      <c r="P15" s="47"/>
    </row>
    <row r="16" spans="1:29" x14ac:dyDescent="0.25">
      <c r="A16" s="32">
        <f t="shared" si="2"/>
        <v>9</v>
      </c>
      <c r="B16" s="33" t="s">
        <v>22</v>
      </c>
      <c r="C16" s="34"/>
      <c r="D16" s="35"/>
      <c r="E16" s="36">
        <f t="shared" si="0"/>
        <v>0</v>
      </c>
      <c r="F16" s="34"/>
      <c r="G16" s="35"/>
      <c r="H16" s="39"/>
      <c r="I16" s="48"/>
      <c r="J16" s="40"/>
      <c r="K16" s="41"/>
      <c r="L16" s="48"/>
      <c r="M16" s="42"/>
      <c r="N16" s="43"/>
    </row>
    <row r="17" spans="1:14" x14ac:dyDescent="0.25">
      <c r="A17" s="32">
        <f t="shared" si="2"/>
        <v>10</v>
      </c>
      <c r="B17" s="33" t="s">
        <v>23</v>
      </c>
      <c r="C17" s="34">
        <v>11</v>
      </c>
      <c r="D17" s="35">
        <v>1</v>
      </c>
      <c r="E17" s="36">
        <f t="shared" si="0"/>
        <v>12</v>
      </c>
      <c r="F17" s="34">
        <v>6</v>
      </c>
      <c r="G17" s="35">
        <v>101.2</v>
      </c>
      <c r="H17" s="39">
        <v>5129962.4000000004</v>
      </c>
      <c r="I17" s="48"/>
      <c r="J17" s="40"/>
      <c r="K17" s="41"/>
      <c r="L17" s="48"/>
      <c r="M17" s="42" t="e">
        <f t="shared" ref="M17:N26" si="3">G17/J17</f>
        <v>#DIV/0!</v>
      </c>
      <c r="N17" s="43" t="e">
        <f t="shared" si="3"/>
        <v>#DIV/0!</v>
      </c>
    </row>
    <row r="18" spans="1:14" x14ac:dyDescent="0.25">
      <c r="A18" s="32">
        <f t="shared" si="2"/>
        <v>11</v>
      </c>
      <c r="B18" s="33" t="s">
        <v>24</v>
      </c>
      <c r="C18" s="34">
        <v>7</v>
      </c>
      <c r="D18" s="35"/>
      <c r="E18" s="36">
        <f t="shared" si="0"/>
        <v>7</v>
      </c>
      <c r="F18" s="34">
        <v>7</v>
      </c>
      <c r="G18" s="35">
        <v>151</v>
      </c>
      <c r="H18" s="39">
        <v>7594959.5</v>
      </c>
      <c r="I18" s="48"/>
      <c r="J18" s="40"/>
      <c r="K18" s="41"/>
      <c r="L18" s="48"/>
      <c r="M18" s="42" t="e">
        <f t="shared" si="3"/>
        <v>#DIV/0!</v>
      </c>
      <c r="N18" s="43" t="e">
        <f t="shared" si="3"/>
        <v>#DIV/0!</v>
      </c>
    </row>
    <row r="19" spans="1:14" s="48" customFormat="1" x14ac:dyDescent="0.25">
      <c r="A19" s="32">
        <f t="shared" si="2"/>
        <v>12</v>
      </c>
      <c r="B19" s="52" t="s">
        <v>25</v>
      </c>
      <c r="C19" s="53">
        <v>5</v>
      </c>
      <c r="D19" s="54"/>
      <c r="E19" s="55">
        <f t="shared" si="0"/>
        <v>5</v>
      </c>
      <c r="F19" s="53">
        <v>3</v>
      </c>
      <c r="G19" s="54">
        <v>62</v>
      </c>
      <c r="H19" s="56">
        <v>3230616</v>
      </c>
      <c r="J19" s="40"/>
      <c r="K19" s="41"/>
      <c r="M19" s="42" t="e">
        <f t="shared" si="3"/>
        <v>#DIV/0!</v>
      </c>
      <c r="N19" s="43" t="e">
        <f t="shared" si="3"/>
        <v>#DIV/0!</v>
      </c>
    </row>
    <row r="20" spans="1:14" x14ac:dyDescent="0.25">
      <c r="A20" s="32">
        <f t="shared" si="2"/>
        <v>13</v>
      </c>
      <c r="B20" s="33" t="s">
        <v>26</v>
      </c>
      <c r="C20" s="34">
        <v>9</v>
      </c>
      <c r="D20" s="35">
        <v>4</v>
      </c>
      <c r="E20" s="36">
        <f t="shared" si="0"/>
        <v>13</v>
      </c>
      <c r="F20" s="34">
        <v>13</v>
      </c>
      <c r="G20" s="35">
        <v>273.5</v>
      </c>
      <c r="H20" s="39">
        <v>13546579.5</v>
      </c>
      <c r="I20" s="48"/>
      <c r="J20" s="40"/>
      <c r="K20" s="41"/>
      <c r="L20" s="48"/>
      <c r="M20" s="42" t="e">
        <f t="shared" si="3"/>
        <v>#DIV/0!</v>
      </c>
      <c r="N20" s="43" t="e">
        <f t="shared" si="3"/>
        <v>#DIV/0!</v>
      </c>
    </row>
    <row r="21" spans="1:14" x14ac:dyDescent="0.25">
      <c r="A21" s="32">
        <f t="shared" si="2"/>
        <v>14</v>
      </c>
      <c r="B21" s="33" t="s">
        <v>27</v>
      </c>
      <c r="C21" s="34">
        <v>3</v>
      </c>
      <c r="D21" s="35">
        <v>2</v>
      </c>
      <c r="E21" s="36">
        <f t="shared" si="0"/>
        <v>5</v>
      </c>
      <c r="F21" s="34">
        <v>4</v>
      </c>
      <c r="G21" s="35">
        <v>97</v>
      </c>
      <c r="H21" s="39">
        <v>4635782</v>
      </c>
      <c r="I21" s="48"/>
      <c r="J21" s="40"/>
      <c r="K21" s="41"/>
      <c r="L21" s="48"/>
      <c r="M21" s="42" t="e">
        <f t="shared" si="3"/>
        <v>#DIV/0!</v>
      </c>
      <c r="N21" s="43" t="e">
        <f t="shared" si="3"/>
        <v>#DIV/0!</v>
      </c>
    </row>
    <row r="22" spans="1:14" x14ac:dyDescent="0.25">
      <c r="A22" s="32">
        <f t="shared" si="2"/>
        <v>15</v>
      </c>
      <c r="B22" s="57" t="s">
        <v>28</v>
      </c>
      <c r="C22" s="34">
        <v>11</v>
      </c>
      <c r="D22" s="35">
        <v>9</v>
      </c>
      <c r="E22" s="36">
        <f t="shared" si="0"/>
        <v>20</v>
      </c>
      <c r="F22" s="34">
        <v>19</v>
      </c>
      <c r="G22" s="35">
        <v>448.5</v>
      </c>
      <c r="H22" s="39">
        <v>21234616.5</v>
      </c>
      <c r="I22" s="48"/>
      <c r="J22" s="40"/>
      <c r="K22" s="41"/>
      <c r="L22" s="48"/>
      <c r="M22" s="42" t="e">
        <f t="shared" si="3"/>
        <v>#DIV/0!</v>
      </c>
      <c r="N22" s="43" t="e">
        <f t="shared" si="3"/>
        <v>#DIV/0!</v>
      </c>
    </row>
    <row r="23" spans="1:14" x14ac:dyDescent="0.25">
      <c r="A23" s="32">
        <f t="shared" si="2"/>
        <v>16</v>
      </c>
      <c r="B23" s="246" t="s">
        <v>89</v>
      </c>
      <c r="C23" s="34"/>
      <c r="D23" s="35">
        <v>9</v>
      </c>
      <c r="E23" s="36">
        <f t="shared" si="0"/>
        <v>9</v>
      </c>
      <c r="F23" s="34">
        <v>4</v>
      </c>
      <c r="G23" s="35">
        <v>293</v>
      </c>
      <c r="H23" s="39">
        <v>11834105</v>
      </c>
      <c r="I23" s="48"/>
      <c r="J23" s="40"/>
      <c r="K23" s="41"/>
      <c r="L23" s="48"/>
      <c r="M23" s="42" t="e">
        <f t="shared" si="3"/>
        <v>#DIV/0!</v>
      </c>
      <c r="N23" s="43" t="e">
        <f t="shared" si="3"/>
        <v>#DIV/0!</v>
      </c>
    </row>
    <row r="24" spans="1:14" x14ac:dyDescent="0.25">
      <c r="A24" s="32">
        <f t="shared" si="2"/>
        <v>17</v>
      </c>
      <c r="B24" s="33" t="s">
        <v>29</v>
      </c>
      <c r="C24" s="34">
        <v>16</v>
      </c>
      <c r="D24" s="35">
        <v>4</v>
      </c>
      <c r="E24" s="36">
        <f t="shared" si="0"/>
        <v>20</v>
      </c>
      <c r="F24" s="34">
        <v>19</v>
      </c>
      <c r="G24" s="35">
        <v>450.5</v>
      </c>
      <c r="H24" s="39">
        <v>23410360.5</v>
      </c>
      <c r="J24" s="58">
        <v>504</v>
      </c>
      <c r="K24" s="59">
        <v>26192104.578034684</v>
      </c>
      <c r="L24"/>
      <c r="M24" s="42">
        <f t="shared" si="3"/>
        <v>0.89384920634920639</v>
      </c>
      <c r="N24" s="43">
        <f t="shared" si="3"/>
        <v>0.89379455668608165</v>
      </c>
    </row>
    <row r="25" spans="1:14" x14ac:dyDescent="0.25">
      <c r="A25" s="32">
        <f t="shared" si="2"/>
        <v>18</v>
      </c>
      <c r="B25" s="33" t="s">
        <v>30</v>
      </c>
      <c r="C25" s="34">
        <v>2</v>
      </c>
      <c r="D25" s="35">
        <v>7</v>
      </c>
      <c r="E25" s="36">
        <f t="shared" si="0"/>
        <v>9</v>
      </c>
      <c r="F25" s="34">
        <v>7</v>
      </c>
      <c r="G25" s="35">
        <v>120</v>
      </c>
      <c r="H25" s="39">
        <v>6000411.5</v>
      </c>
      <c r="J25" s="40"/>
      <c r="K25" s="41"/>
      <c r="L25"/>
      <c r="M25" s="42" t="e">
        <f t="shared" si="3"/>
        <v>#DIV/0!</v>
      </c>
      <c r="N25" s="43" t="e">
        <f t="shared" si="3"/>
        <v>#DIV/0!</v>
      </c>
    </row>
    <row r="26" spans="1:14" x14ac:dyDescent="0.25">
      <c r="A26" s="32">
        <f t="shared" si="2"/>
        <v>19</v>
      </c>
      <c r="B26" s="33" t="s">
        <v>31</v>
      </c>
      <c r="C26" s="34">
        <v>2</v>
      </c>
      <c r="D26" s="35">
        <v>10</v>
      </c>
      <c r="E26" s="36">
        <f t="shared" si="0"/>
        <v>12</v>
      </c>
      <c r="F26" s="34">
        <v>9</v>
      </c>
      <c r="G26" s="35">
        <v>116</v>
      </c>
      <c r="H26" s="39">
        <v>5537047</v>
      </c>
      <c r="J26" s="40">
        <v>350</v>
      </c>
      <c r="K26" s="41">
        <v>14615074.566473989</v>
      </c>
      <c r="L26"/>
      <c r="M26" s="42">
        <f t="shared" si="3"/>
        <v>0.33142857142857141</v>
      </c>
      <c r="N26" s="43">
        <f t="shared" si="3"/>
        <v>0.37885862126913938</v>
      </c>
    </row>
    <row r="27" spans="1:14" x14ac:dyDescent="0.25">
      <c r="A27" s="247">
        <f t="shared" si="2"/>
        <v>20</v>
      </c>
      <c r="B27" s="61" t="s">
        <v>32</v>
      </c>
      <c r="C27" s="62">
        <v>25</v>
      </c>
      <c r="D27" s="63">
        <v>10</v>
      </c>
      <c r="E27" s="64">
        <f t="shared" si="0"/>
        <v>35</v>
      </c>
      <c r="F27" s="34"/>
      <c r="G27" s="35"/>
      <c r="H27" s="39"/>
      <c r="J27" s="40">
        <v>140</v>
      </c>
      <c r="K27" s="41">
        <v>7183543.8843930643</v>
      </c>
      <c r="L27"/>
      <c r="M27" s="65">
        <f>(G28+G29)/J27</f>
        <v>2.6321428571428571</v>
      </c>
      <c r="N27" s="66">
        <f>(H28+H29)/K27</f>
        <v>2.7528515616036784</v>
      </c>
    </row>
    <row r="28" spans="1:14" x14ac:dyDescent="0.25">
      <c r="A28" s="60"/>
      <c r="B28" s="61" t="s">
        <v>33</v>
      </c>
      <c r="C28" s="34"/>
      <c r="D28" s="35"/>
      <c r="E28" s="36"/>
      <c r="F28" s="34"/>
      <c r="G28" s="35"/>
      <c r="H28" s="39"/>
      <c r="J28" s="67"/>
      <c r="K28" s="68"/>
      <c r="L28"/>
      <c r="M28" s="69"/>
      <c r="N28" s="70"/>
    </row>
    <row r="29" spans="1:14" x14ac:dyDescent="0.25">
      <c r="A29" s="32"/>
      <c r="B29" s="33" t="s">
        <v>34</v>
      </c>
      <c r="C29" s="34"/>
      <c r="D29" s="35"/>
      <c r="E29" s="36"/>
      <c r="F29" s="34">
        <v>32</v>
      </c>
      <c r="G29" s="35">
        <v>368.5</v>
      </c>
      <c r="H29" s="39">
        <v>19775230</v>
      </c>
      <c r="J29" s="40"/>
      <c r="K29" s="41"/>
      <c r="L29"/>
      <c r="M29" s="42"/>
      <c r="N29" s="43"/>
    </row>
    <row r="30" spans="1:14" x14ac:dyDescent="0.25">
      <c r="A30" s="32">
        <v>21</v>
      </c>
      <c r="B30" s="33" t="s">
        <v>35</v>
      </c>
      <c r="C30" s="34">
        <v>2</v>
      </c>
      <c r="D30" s="35">
        <v>3</v>
      </c>
      <c r="E30" s="36">
        <f t="shared" ref="E30:E40" si="4">C30+D30</f>
        <v>5</v>
      </c>
      <c r="F30" s="34">
        <v>2</v>
      </c>
      <c r="G30" s="35">
        <v>8</v>
      </c>
      <c r="H30" s="39">
        <v>377564</v>
      </c>
      <c r="J30" s="40"/>
      <c r="K30" s="41"/>
      <c r="L30"/>
      <c r="M30" s="42" t="e">
        <f>G30/J30</f>
        <v>#DIV/0!</v>
      </c>
      <c r="N30" s="43" t="e">
        <f>H30/K30</f>
        <v>#DIV/0!</v>
      </c>
    </row>
    <row r="31" spans="1:14" x14ac:dyDescent="0.25">
      <c r="A31" s="60">
        <f t="shared" ref="A31:A40" si="5">A30+1</f>
        <v>22</v>
      </c>
      <c r="B31" s="61" t="s">
        <v>36</v>
      </c>
      <c r="C31" s="62">
        <v>8</v>
      </c>
      <c r="D31" s="63"/>
      <c r="E31" s="64">
        <f t="shared" si="4"/>
        <v>8</v>
      </c>
      <c r="F31" s="34">
        <v>7</v>
      </c>
      <c r="G31" s="35">
        <v>113</v>
      </c>
      <c r="H31" s="39">
        <v>5826138</v>
      </c>
      <c r="J31" s="40"/>
      <c r="K31" s="41"/>
      <c r="L31"/>
      <c r="M31" s="73" t="e">
        <f>(G31+G32)/J31</f>
        <v>#DIV/0!</v>
      </c>
      <c r="N31" s="50" t="e">
        <f>(H31+H32)/K31</f>
        <v>#DIV/0!</v>
      </c>
    </row>
    <row r="32" spans="1:14" x14ac:dyDescent="0.25">
      <c r="A32" s="32">
        <f t="shared" si="5"/>
        <v>23</v>
      </c>
      <c r="B32" s="33" t="s">
        <v>37</v>
      </c>
      <c r="C32" s="34">
        <v>9</v>
      </c>
      <c r="D32" s="35">
        <v>3</v>
      </c>
      <c r="E32" s="36">
        <f t="shared" si="4"/>
        <v>12</v>
      </c>
      <c r="F32" s="34">
        <v>12</v>
      </c>
      <c r="G32" s="35">
        <v>208</v>
      </c>
      <c r="H32" s="39">
        <v>10420036</v>
      </c>
      <c r="J32" s="74"/>
      <c r="K32" s="68"/>
      <c r="L32"/>
      <c r="M32" s="42"/>
      <c r="N32" s="43"/>
    </row>
    <row r="33" spans="1:14" x14ac:dyDescent="0.25">
      <c r="A33" s="32">
        <f t="shared" si="5"/>
        <v>24</v>
      </c>
      <c r="B33" s="33" t="s">
        <v>38</v>
      </c>
      <c r="C33" s="34">
        <v>10</v>
      </c>
      <c r="D33" s="35">
        <v>3</v>
      </c>
      <c r="E33" s="36">
        <f t="shared" si="4"/>
        <v>13</v>
      </c>
      <c r="F33" s="34">
        <v>12</v>
      </c>
      <c r="G33" s="35">
        <v>112</v>
      </c>
      <c r="H33" s="39">
        <v>5759864</v>
      </c>
      <c r="I33" s="48"/>
      <c r="J33" s="40"/>
      <c r="K33" s="41"/>
      <c r="L33" s="48"/>
      <c r="M33" s="42" t="e">
        <f t="shared" ref="M33:N40" si="6">G33/J33</f>
        <v>#DIV/0!</v>
      </c>
      <c r="N33" s="43" t="e">
        <f t="shared" si="6"/>
        <v>#DIV/0!</v>
      </c>
    </row>
    <row r="34" spans="1:14" x14ac:dyDescent="0.25">
      <c r="A34" s="32">
        <f t="shared" si="5"/>
        <v>25</v>
      </c>
      <c r="B34" s="33" t="s">
        <v>39</v>
      </c>
      <c r="C34" s="34">
        <v>8</v>
      </c>
      <c r="D34" s="35"/>
      <c r="E34" s="36">
        <f t="shared" si="4"/>
        <v>8</v>
      </c>
      <c r="F34" s="34">
        <v>4</v>
      </c>
      <c r="G34" s="35">
        <v>36</v>
      </c>
      <c r="H34" s="39">
        <v>1882362</v>
      </c>
      <c r="I34" s="48"/>
      <c r="J34" s="40"/>
      <c r="K34" s="41"/>
      <c r="L34" s="48"/>
      <c r="M34" s="42" t="e">
        <f t="shared" si="6"/>
        <v>#DIV/0!</v>
      </c>
      <c r="N34" s="43" t="e">
        <f t="shared" si="6"/>
        <v>#DIV/0!</v>
      </c>
    </row>
    <row r="35" spans="1:14" x14ac:dyDescent="0.25">
      <c r="A35" s="32">
        <f t="shared" si="5"/>
        <v>26</v>
      </c>
      <c r="B35" s="33" t="s">
        <v>40</v>
      </c>
      <c r="C35" s="34">
        <v>1</v>
      </c>
      <c r="D35" s="35">
        <v>1</v>
      </c>
      <c r="E35" s="36">
        <f t="shared" si="4"/>
        <v>2</v>
      </c>
      <c r="F35" s="34">
        <v>2</v>
      </c>
      <c r="G35" s="35">
        <v>14</v>
      </c>
      <c r="H35" s="39">
        <v>737555</v>
      </c>
      <c r="I35" s="48"/>
      <c r="J35" s="40"/>
      <c r="K35" s="41"/>
      <c r="L35" s="48"/>
      <c r="M35" s="42" t="e">
        <f t="shared" si="6"/>
        <v>#DIV/0!</v>
      </c>
      <c r="N35" s="43" t="e">
        <f t="shared" si="6"/>
        <v>#DIV/0!</v>
      </c>
    </row>
    <row r="36" spans="1:14" x14ac:dyDescent="0.25">
      <c r="A36" s="32">
        <f t="shared" si="5"/>
        <v>27</v>
      </c>
      <c r="B36" s="33" t="s">
        <v>41</v>
      </c>
      <c r="C36" s="34">
        <v>4</v>
      </c>
      <c r="D36" s="35"/>
      <c r="E36" s="36">
        <f t="shared" si="4"/>
        <v>4</v>
      </c>
      <c r="F36" s="34">
        <v>4</v>
      </c>
      <c r="G36" s="35">
        <v>36</v>
      </c>
      <c r="H36" s="39">
        <v>1804794</v>
      </c>
      <c r="I36" s="48"/>
      <c r="J36" s="58"/>
      <c r="K36" s="59"/>
      <c r="L36" s="48"/>
      <c r="M36" s="42" t="e">
        <f t="shared" si="6"/>
        <v>#DIV/0!</v>
      </c>
      <c r="N36" s="43" t="e">
        <f t="shared" si="6"/>
        <v>#DIV/0!</v>
      </c>
    </row>
    <row r="37" spans="1:14" x14ac:dyDescent="0.25">
      <c r="A37" s="32">
        <f t="shared" si="5"/>
        <v>28</v>
      </c>
      <c r="B37" s="33" t="s">
        <v>42</v>
      </c>
      <c r="C37" s="34">
        <v>3</v>
      </c>
      <c r="D37" s="35"/>
      <c r="E37" s="36">
        <f t="shared" si="4"/>
        <v>3</v>
      </c>
      <c r="F37" s="34">
        <v>2</v>
      </c>
      <c r="G37" s="35">
        <v>13</v>
      </c>
      <c r="H37" s="39">
        <v>701248</v>
      </c>
      <c r="J37" s="40"/>
      <c r="K37" s="41"/>
      <c r="L37"/>
      <c r="M37" s="42" t="e">
        <f t="shared" si="6"/>
        <v>#DIV/0!</v>
      </c>
      <c r="N37" s="43" t="e">
        <f t="shared" si="6"/>
        <v>#DIV/0!</v>
      </c>
    </row>
    <row r="38" spans="1:14" x14ac:dyDescent="0.25">
      <c r="A38" s="32">
        <f t="shared" si="5"/>
        <v>29</v>
      </c>
      <c r="B38" s="44" t="s">
        <v>43</v>
      </c>
      <c r="C38" s="45">
        <v>1</v>
      </c>
      <c r="D38" s="46">
        <v>15</v>
      </c>
      <c r="E38" s="36">
        <f t="shared" si="4"/>
        <v>16</v>
      </c>
      <c r="F38" s="34">
        <v>14</v>
      </c>
      <c r="G38" s="35">
        <v>310.8</v>
      </c>
      <c r="H38" s="39">
        <v>15181030.4</v>
      </c>
      <c r="J38" s="58"/>
      <c r="K38" s="59"/>
      <c r="L38"/>
      <c r="M38" s="42" t="e">
        <f t="shared" si="6"/>
        <v>#DIV/0!</v>
      </c>
      <c r="N38" s="43" t="e">
        <f t="shared" si="6"/>
        <v>#DIV/0!</v>
      </c>
    </row>
    <row r="39" spans="1:14" x14ac:dyDescent="0.25">
      <c r="A39" s="32">
        <f t="shared" si="5"/>
        <v>30</v>
      </c>
      <c r="B39" s="33" t="s">
        <v>44</v>
      </c>
      <c r="C39" s="34">
        <v>4</v>
      </c>
      <c r="D39" s="35">
        <v>3</v>
      </c>
      <c r="E39" s="36">
        <f t="shared" si="4"/>
        <v>7</v>
      </c>
      <c r="F39" s="34">
        <v>6</v>
      </c>
      <c r="G39" s="35">
        <v>48</v>
      </c>
      <c r="H39" s="39">
        <v>2279749</v>
      </c>
      <c r="J39" s="58"/>
      <c r="K39" s="59"/>
      <c r="L39"/>
      <c r="M39" s="42" t="e">
        <f t="shared" si="6"/>
        <v>#DIV/0!</v>
      </c>
      <c r="N39" s="43" t="e">
        <f t="shared" si="6"/>
        <v>#DIV/0!</v>
      </c>
    </row>
    <row r="40" spans="1:14" x14ac:dyDescent="0.25">
      <c r="A40" s="32">
        <f t="shared" si="5"/>
        <v>31</v>
      </c>
      <c r="B40" s="44" t="s">
        <v>45</v>
      </c>
      <c r="C40" s="34">
        <v>1</v>
      </c>
      <c r="D40" s="35"/>
      <c r="E40" s="36">
        <f t="shared" si="4"/>
        <v>1</v>
      </c>
      <c r="F40" s="34"/>
      <c r="G40" s="35"/>
      <c r="H40" s="39"/>
      <c r="J40" s="58"/>
      <c r="K40" s="59"/>
      <c r="L40"/>
      <c r="M40" s="42" t="e">
        <f t="shared" si="6"/>
        <v>#DIV/0!</v>
      </c>
      <c r="N40" s="43" t="e">
        <f t="shared" si="6"/>
        <v>#DIV/0!</v>
      </c>
    </row>
    <row r="41" spans="1:14" ht="15.75" thickBot="1" x14ac:dyDescent="0.3">
      <c r="A41" s="75"/>
      <c r="B41" s="76"/>
      <c r="C41" s="45"/>
      <c r="D41" s="46"/>
      <c r="E41" s="77"/>
      <c r="F41" s="78"/>
      <c r="G41" s="79"/>
      <c r="H41" s="80"/>
      <c r="J41" s="81"/>
      <c r="K41" s="82"/>
      <c r="L41"/>
      <c r="M41" s="83"/>
      <c r="N41" s="84"/>
    </row>
    <row r="42" spans="1:14" ht="15.75" thickBot="1" x14ac:dyDescent="0.3">
      <c r="A42" s="85"/>
      <c r="B42" s="86" t="s">
        <v>46</v>
      </c>
      <c r="C42" s="87">
        <f>SUM(C8:C40)</f>
        <v>165</v>
      </c>
      <c r="D42" s="88">
        <f>SUM(D8:D40)</f>
        <v>96</v>
      </c>
      <c r="E42" s="89">
        <f>SUM(E8:E39)</f>
        <v>260</v>
      </c>
      <c r="F42" s="93">
        <f>SUM(F8:F39)</f>
        <v>209</v>
      </c>
      <c r="G42" s="88">
        <f>SUM(G8:G41)</f>
        <v>3984</v>
      </c>
      <c r="H42" s="92">
        <f>SUM(H8:H41)</f>
        <v>197990720.30000001</v>
      </c>
      <c r="J42" s="94">
        <f>SUM(J8:J41)</f>
        <v>994</v>
      </c>
      <c r="K42" s="95">
        <f>SUM(K8:K41)</f>
        <v>47990723.028901741</v>
      </c>
      <c r="L42"/>
      <c r="M42" s="96">
        <f>G42/J42</f>
        <v>4.0080482897384302</v>
      </c>
      <c r="N42" s="97">
        <f>H42/K42</f>
        <v>4.1256040293613179</v>
      </c>
    </row>
    <row r="43" spans="1:14" x14ac:dyDescent="0.25">
      <c r="A43" s="60"/>
      <c r="B43" s="98"/>
      <c r="C43" s="62"/>
      <c r="D43" s="63"/>
      <c r="E43" s="64"/>
      <c r="F43" s="71"/>
      <c r="G43" s="63"/>
      <c r="H43" s="100"/>
      <c r="J43" s="67"/>
      <c r="K43" s="101"/>
      <c r="L43"/>
      <c r="M43" s="69"/>
      <c r="N43" s="70"/>
    </row>
    <row r="44" spans="1:14" x14ac:dyDescent="0.25">
      <c r="A44" s="32"/>
      <c r="B44" s="102"/>
      <c r="C44" s="34"/>
      <c r="D44" s="35"/>
      <c r="E44" s="36"/>
      <c r="F44" s="37"/>
      <c r="G44" s="63"/>
      <c r="H44" s="63"/>
      <c r="J44" s="40"/>
      <c r="K44" s="103"/>
      <c r="L44"/>
      <c r="M44" s="42"/>
      <c r="N44" s="104"/>
    </row>
    <row r="45" spans="1:14" x14ac:dyDescent="0.25">
      <c r="A45" s="32"/>
      <c r="B45" s="105"/>
      <c r="C45" s="34"/>
      <c r="D45" s="35"/>
      <c r="E45" s="36"/>
      <c r="F45" s="37"/>
      <c r="G45" s="63"/>
      <c r="H45" s="100"/>
      <c r="J45" s="67"/>
      <c r="K45" s="101"/>
      <c r="L45"/>
      <c r="M45" s="42"/>
      <c r="N45" s="104"/>
    </row>
    <row r="46" spans="1:14" x14ac:dyDescent="0.25">
      <c r="A46" s="32">
        <v>1</v>
      </c>
      <c r="B46" s="33" t="s">
        <v>47</v>
      </c>
      <c r="C46" s="34">
        <v>4</v>
      </c>
      <c r="D46" s="35">
        <v>3</v>
      </c>
      <c r="E46" s="36">
        <f t="shared" ref="E46:E51" si="7">C46+D46</f>
        <v>7</v>
      </c>
      <c r="F46" s="34">
        <v>7</v>
      </c>
      <c r="G46" s="35">
        <v>140</v>
      </c>
      <c r="H46" s="39">
        <v>7374733</v>
      </c>
      <c r="J46" s="106"/>
      <c r="K46" s="68"/>
      <c r="L46"/>
      <c r="M46" s="42" t="e">
        <f t="shared" ref="M46:N48" si="8">G46/J46</f>
        <v>#DIV/0!</v>
      </c>
      <c r="N46" s="43" t="e">
        <f t="shared" si="8"/>
        <v>#DIV/0!</v>
      </c>
    </row>
    <row r="47" spans="1:14" x14ac:dyDescent="0.25">
      <c r="A47" s="32">
        <v>2</v>
      </c>
      <c r="B47" s="33" t="s">
        <v>48</v>
      </c>
      <c r="C47" s="34">
        <v>8</v>
      </c>
      <c r="D47" s="35">
        <v>2</v>
      </c>
      <c r="E47" s="36">
        <f t="shared" si="7"/>
        <v>10</v>
      </c>
      <c r="F47" s="34">
        <v>8</v>
      </c>
      <c r="G47" s="35">
        <v>229.4</v>
      </c>
      <c r="H47" s="39">
        <v>12954903.4</v>
      </c>
      <c r="I47" s="48"/>
      <c r="J47" s="106"/>
      <c r="K47" s="107"/>
      <c r="L47" s="48"/>
      <c r="M47" s="42" t="e">
        <f t="shared" si="8"/>
        <v>#DIV/0!</v>
      </c>
      <c r="N47" s="43" t="e">
        <f t="shared" si="8"/>
        <v>#DIV/0!</v>
      </c>
    </row>
    <row r="48" spans="1:14" x14ac:dyDescent="0.25">
      <c r="A48" s="32">
        <v>3</v>
      </c>
      <c r="B48" s="33" t="s">
        <v>49</v>
      </c>
      <c r="C48" s="34">
        <v>12</v>
      </c>
      <c r="D48" s="35">
        <v>3</v>
      </c>
      <c r="E48" s="36">
        <f t="shared" si="7"/>
        <v>15</v>
      </c>
      <c r="F48" s="34">
        <v>13</v>
      </c>
      <c r="G48" s="108">
        <v>520.4</v>
      </c>
      <c r="H48" s="39">
        <v>28821805.600000001</v>
      </c>
      <c r="J48" s="106">
        <v>792</v>
      </c>
      <c r="K48" s="107">
        <v>40072688.219653182</v>
      </c>
      <c r="L48"/>
      <c r="M48" s="42">
        <f t="shared" si="8"/>
        <v>0.65707070707070703</v>
      </c>
      <c r="N48" s="43">
        <f t="shared" si="8"/>
        <v>0.71923813650876267</v>
      </c>
    </row>
    <row r="49" spans="1:16" x14ac:dyDescent="0.25">
      <c r="A49" s="32">
        <v>4</v>
      </c>
      <c r="B49" s="33" t="s">
        <v>50</v>
      </c>
      <c r="C49" s="34">
        <v>11</v>
      </c>
      <c r="D49" s="35">
        <v>4</v>
      </c>
      <c r="E49" s="36">
        <f t="shared" si="7"/>
        <v>15</v>
      </c>
      <c r="F49" s="34">
        <v>6</v>
      </c>
      <c r="G49" s="35">
        <v>87</v>
      </c>
      <c r="H49" s="39">
        <v>4582689.5</v>
      </c>
      <c r="J49" s="106"/>
      <c r="K49" s="68"/>
      <c r="L49"/>
      <c r="M49" s="109" t="e">
        <f>(G49+G50)/J49</f>
        <v>#DIV/0!</v>
      </c>
      <c r="N49" s="66" t="e">
        <f>(H49+H50)/K49</f>
        <v>#DIV/0!</v>
      </c>
      <c r="O49" s="110"/>
      <c r="P49" s="111"/>
    </row>
    <row r="50" spans="1:16" x14ac:dyDescent="0.25">
      <c r="A50" s="32">
        <v>5</v>
      </c>
      <c r="B50" s="33" t="s">
        <v>51</v>
      </c>
      <c r="C50" s="34">
        <v>20</v>
      </c>
      <c r="D50" s="35">
        <v>7</v>
      </c>
      <c r="E50" s="36">
        <f t="shared" si="7"/>
        <v>27</v>
      </c>
      <c r="F50" s="34">
        <v>11</v>
      </c>
      <c r="G50" s="35">
        <v>161.5</v>
      </c>
      <c r="H50" s="39">
        <v>8426438</v>
      </c>
      <c r="J50" s="112"/>
      <c r="K50" s="113"/>
      <c r="L50"/>
      <c r="M50" s="42"/>
      <c r="N50" s="43"/>
      <c r="O50" s="110"/>
      <c r="P50" s="111"/>
    </row>
    <row r="51" spans="1:16" x14ac:dyDescent="0.25">
      <c r="A51" s="32">
        <v>6</v>
      </c>
      <c r="B51" s="33" t="s">
        <v>52</v>
      </c>
      <c r="C51" s="34">
        <v>17</v>
      </c>
      <c r="D51" s="35">
        <v>2</v>
      </c>
      <c r="E51" s="36">
        <f t="shared" si="7"/>
        <v>19</v>
      </c>
      <c r="F51" s="34">
        <v>10</v>
      </c>
      <c r="G51" s="35">
        <v>144</v>
      </c>
      <c r="H51" s="39">
        <v>7733215.5</v>
      </c>
      <c r="J51" s="112">
        <v>14</v>
      </c>
      <c r="K51" s="113">
        <v>712131.28323699418</v>
      </c>
      <c r="L51"/>
      <c r="M51" s="42">
        <f>G51/J51</f>
        <v>10.285714285714286</v>
      </c>
      <c r="N51" s="43">
        <f>H51/K51</f>
        <v>10.859255423871639</v>
      </c>
    </row>
    <row r="52" spans="1:16" ht="15.75" thickBot="1" x14ac:dyDescent="0.3">
      <c r="A52" s="75"/>
      <c r="B52" s="76"/>
      <c r="C52" s="45"/>
      <c r="D52" s="46"/>
      <c r="E52" s="77"/>
      <c r="F52" s="78"/>
      <c r="G52" s="114"/>
      <c r="H52" s="80"/>
      <c r="J52" s="115"/>
      <c r="K52" s="116"/>
      <c r="L52"/>
      <c r="M52" s="83"/>
      <c r="N52" s="117"/>
    </row>
    <row r="53" spans="1:16" ht="15.75" thickBot="1" x14ac:dyDescent="0.3">
      <c r="A53" s="118"/>
      <c r="B53" s="119" t="s">
        <v>53</v>
      </c>
      <c r="C53" s="120">
        <f t="shared" ref="C53:H53" si="9">SUM(C46:C51)</f>
        <v>72</v>
      </c>
      <c r="D53" s="121">
        <f t="shared" si="9"/>
        <v>21</v>
      </c>
      <c r="E53" s="122">
        <f t="shared" si="9"/>
        <v>93</v>
      </c>
      <c r="F53" s="123">
        <f>SUM(F46:F52)</f>
        <v>55</v>
      </c>
      <c r="G53" s="126">
        <f t="shared" si="9"/>
        <v>1282.3</v>
      </c>
      <c r="H53" s="125">
        <f t="shared" si="9"/>
        <v>69893785</v>
      </c>
      <c r="J53" s="127">
        <f>SUM(J46:J52)</f>
        <v>806</v>
      </c>
      <c r="K53" s="127">
        <f>SUM(K46:K52)</f>
        <v>40784819.502890177</v>
      </c>
      <c r="L53"/>
      <c r="M53" s="128">
        <f>G53/J53</f>
        <v>1.5909429280397023</v>
      </c>
      <c r="N53" s="129">
        <f>H53/K53</f>
        <v>1.7137205914334632</v>
      </c>
      <c r="O53" s="130"/>
      <c r="P53" s="130"/>
    </row>
    <row r="54" spans="1:16" x14ac:dyDescent="0.25">
      <c r="A54" s="60"/>
      <c r="B54" s="98"/>
      <c r="C54" s="62"/>
      <c r="D54" s="63"/>
      <c r="E54" s="131"/>
      <c r="F54" s="71"/>
      <c r="G54" s="132"/>
      <c r="H54" s="132"/>
      <c r="J54" s="40"/>
      <c r="K54" s="103"/>
      <c r="L54"/>
      <c r="M54" s="69"/>
      <c r="N54" s="70"/>
    </row>
    <row r="55" spans="1:16" x14ac:dyDescent="0.25">
      <c r="A55" s="32"/>
      <c r="B55" s="102"/>
      <c r="C55" s="34"/>
      <c r="D55" s="35"/>
      <c r="E55" s="64"/>
      <c r="F55" s="37"/>
      <c r="G55" s="134"/>
      <c r="H55" s="39"/>
      <c r="J55" s="40"/>
      <c r="K55" s="103"/>
      <c r="L55"/>
      <c r="M55" s="42"/>
      <c r="N55" s="104"/>
    </row>
    <row r="56" spans="1:16" x14ac:dyDescent="0.25">
      <c r="A56" s="32"/>
      <c r="B56" s="105"/>
      <c r="C56" s="34"/>
      <c r="D56" s="35"/>
      <c r="E56" s="36"/>
      <c r="F56" s="34"/>
      <c r="G56" s="35"/>
      <c r="H56" s="39"/>
      <c r="J56" s="40"/>
      <c r="K56" s="103"/>
      <c r="L56"/>
      <c r="M56" s="42"/>
      <c r="N56" s="104"/>
    </row>
    <row r="57" spans="1:16" x14ac:dyDescent="0.25">
      <c r="A57" s="32">
        <v>1</v>
      </c>
      <c r="B57" s="33" t="s">
        <v>54</v>
      </c>
      <c r="C57" s="34">
        <v>2</v>
      </c>
      <c r="D57" s="35">
        <v>3</v>
      </c>
      <c r="E57" s="36">
        <f t="shared" ref="E57:E63" si="10">C57+D57</f>
        <v>5</v>
      </c>
      <c r="F57" s="34">
        <v>3</v>
      </c>
      <c r="G57" s="35">
        <v>25</v>
      </c>
      <c r="H57" s="39">
        <v>1255548</v>
      </c>
      <c r="I57" s="48"/>
      <c r="J57" s="135">
        <v>250</v>
      </c>
      <c r="K57" s="136">
        <v>10093116.462427745</v>
      </c>
      <c r="L57" s="48"/>
      <c r="M57" s="42">
        <f>G57/J57</f>
        <v>0.1</v>
      </c>
      <c r="N57" s="43">
        <f t="shared" ref="M57:N63" si="11">H57/K57</f>
        <v>0.12439646413214944</v>
      </c>
    </row>
    <row r="58" spans="1:16" x14ac:dyDescent="0.25">
      <c r="A58" s="32">
        <f>A57+1</f>
        <v>2</v>
      </c>
      <c r="B58" s="44" t="s">
        <v>55</v>
      </c>
      <c r="C58" s="45">
        <v>2</v>
      </c>
      <c r="D58" s="46"/>
      <c r="E58" s="36">
        <f t="shared" si="10"/>
        <v>2</v>
      </c>
      <c r="F58" s="34"/>
      <c r="G58" s="35"/>
      <c r="H58" s="39"/>
      <c r="I58" s="48"/>
      <c r="J58" s="40"/>
      <c r="K58" s="103"/>
      <c r="L58" s="48"/>
      <c r="M58" s="42" t="e">
        <f t="shared" si="11"/>
        <v>#DIV/0!</v>
      </c>
      <c r="N58" s="43" t="e">
        <f t="shared" si="11"/>
        <v>#DIV/0!</v>
      </c>
    </row>
    <row r="59" spans="1:16" x14ac:dyDescent="0.25">
      <c r="A59" s="32">
        <f>A58+1</f>
        <v>3</v>
      </c>
      <c r="B59" s="33" t="s">
        <v>56</v>
      </c>
      <c r="C59" s="34">
        <v>7</v>
      </c>
      <c r="D59" s="35"/>
      <c r="E59" s="36">
        <f t="shared" si="10"/>
        <v>7</v>
      </c>
      <c r="F59" s="34">
        <v>3</v>
      </c>
      <c r="G59" s="35">
        <v>36.5</v>
      </c>
      <c r="H59" s="39">
        <v>1925985.5</v>
      </c>
      <c r="I59" s="48"/>
      <c r="J59" s="40"/>
      <c r="K59" s="103"/>
      <c r="L59" s="48"/>
      <c r="M59" s="42" t="e">
        <f t="shared" si="11"/>
        <v>#DIV/0!</v>
      </c>
      <c r="N59" s="43" t="e">
        <f t="shared" si="11"/>
        <v>#DIV/0!</v>
      </c>
    </row>
    <row r="60" spans="1:16" x14ac:dyDescent="0.25">
      <c r="A60" s="32">
        <f>A59+1</f>
        <v>4</v>
      </c>
      <c r="B60" s="33" t="s">
        <v>57</v>
      </c>
      <c r="C60" s="34">
        <v>9</v>
      </c>
      <c r="D60" s="35">
        <v>6</v>
      </c>
      <c r="E60" s="36">
        <f t="shared" si="10"/>
        <v>15</v>
      </c>
      <c r="F60" s="34">
        <v>15</v>
      </c>
      <c r="G60" s="35">
        <v>431</v>
      </c>
      <c r="H60" s="39">
        <v>21435983</v>
      </c>
      <c r="J60" s="40">
        <v>1003</v>
      </c>
      <c r="K60" s="103">
        <v>40976982.673410401</v>
      </c>
      <c r="L60"/>
      <c r="M60" s="42">
        <f t="shared" si="11"/>
        <v>0.42971086739780656</v>
      </c>
      <c r="N60" s="43">
        <f t="shared" si="11"/>
        <v>0.5231225337123131</v>
      </c>
    </row>
    <row r="61" spans="1:16" x14ac:dyDescent="0.25">
      <c r="A61" s="32">
        <f>A60+1</f>
        <v>5</v>
      </c>
      <c r="B61" s="33" t="s">
        <v>58</v>
      </c>
      <c r="C61" s="34">
        <v>2</v>
      </c>
      <c r="D61" s="35"/>
      <c r="E61" s="36">
        <f t="shared" si="10"/>
        <v>2</v>
      </c>
      <c r="F61" s="34"/>
      <c r="G61" s="35"/>
      <c r="H61" s="39"/>
      <c r="I61" s="48"/>
      <c r="J61" s="40"/>
      <c r="K61" s="41"/>
      <c r="L61" s="48"/>
      <c r="M61" s="42" t="e">
        <f t="shared" si="11"/>
        <v>#DIV/0!</v>
      </c>
      <c r="N61" s="43" t="e">
        <f t="shared" si="11"/>
        <v>#DIV/0!</v>
      </c>
    </row>
    <row r="62" spans="1:16" x14ac:dyDescent="0.25">
      <c r="A62" s="75">
        <f>A61+1</f>
        <v>6</v>
      </c>
      <c r="B62" s="44" t="s">
        <v>59</v>
      </c>
      <c r="C62" s="45">
        <v>1</v>
      </c>
      <c r="D62" s="46"/>
      <c r="E62" s="36">
        <f t="shared" si="10"/>
        <v>1</v>
      </c>
      <c r="F62" s="34"/>
      <c r="G62" s="35"/>
      <c r="H62" s="39"/>
      <c r="I62" s="48"/>
      <c r="J62" s="137">
        <v>12</v>
      </c>
      <c r="K62" s="55">
        <v>485318.73410404625</v>
      </c>
      <c r="L62" s="48"/>
      <c r="M62" s="42">
        <f t="shared" si="11"/>
        <v>0</v>
      </c>
      <c r="N62" s="43">
        <f t="shared" si="11"/>
        <v>0</v>
      </c>
    </row>
    <row r="63" spans="1:16" x14ac:dyDescent="0.25">
      <c r="A63" s="32">
        <v>7</v>
      </c>
      <c r="B63" s="33" t="s">
        <v>60</v>
      </c>
      <c r="C63" s="34">
        <v>3</v>
      </c>
      <c r="D63" s="35">
        <v>1</v>
      </c>
      <c r="E63" s="36">
        <f t="shared" si="10"/>
        <v>4</v>
      </c>
      <c r="F63" s="34">
        <v>1</v>
      </c>
      <c r="G63" s="35">
        <v>7</v>
      </c>
      <c r="H63" s="39">
        <v>390530</v>
      </c>
      <c r="J63" s="138"/>
      <c r="K63" s="139"/>
      <c r="L63"/>
      <c r="M63" s="42" t="e">
        <f t="shared" si="11"/>
        <v>#DIV/0!</v>
      </c>
      <c r="N63" s="43" t="e">
        <f t="shared" si="11"/>
        <v>#DIV/0!</v>
      </c>
    </row>
    <row r="64" spans="1:16" ht="15.75" thickBot="1" x14ac:dyDescent="0.3">
      <c r="A64" s="32"/>
      <c r="B64" s="33"/>
      <c r="C64" s="34"/>
      <c r="D64" s="35"/>
      <c r="E64" s="36"/>
      <c r="F64" s="34"/>
      <c r="G64" s="35"/>
      <c r="H64" s="39"/>
      <c r="J64" s="138"/>
      <c r="K64" s="139"/>
      <c r="L64"/>
      <c r="M64" s="42"/>
      <c r="N64" s="43"/>
    </row>
    <row r="65" spans="1:14" ht="15.75" thickBot="1" x14ac:dyDescent="0.3">
      <c r="A65" s="140"/>
      <c r="B65" s="141" t="s">
        <v>61</v>
      </c>
      <c r="C65" s="142">
        <f t="shared" ref="C65:K65" si="12">SUM(C57:C63)</f>
        <v>26</v>
      </c>
      <c r="D65" s="143">
        <f t="shared" si="12"/>
        <v>10</v>
      </c>
      <c r="E65" s="143">
        <f t="shared" si="12"/>
        <v>36</v>
      </c>
      <c r="F65" s="147">
        <f t="shared" si="12"/>
        <v>22</v>
      </c>
      <c r="G65" s="255">
        <f t="shared" si="12"/>
        <v>499.5</v>
      </c>
      <c r="H65" s="147">
        <f t="shared" si="12"/>
        <v>25008046.5</v>
      </c>
      <c r="I65" s="148">
        <f t="shared" si="12"/>
        <v>0</v>
      </c>
      <c r="J65" s="147">
        <f t="shared" si="12"/>
        <v>1265</v>
      </c>
      <c r="K65" s="147">
        <f t="shared" si="12"/>
        <v>51555417.869942188</v>
      </c>
      <c r="L65"/>
      <c r="M65" s="149">
        <f>G65/J65</f>
        <v>0.39486166007905138</v>
      </c>
      <c r="N65" s="150">
        <f>H65/K65</f>
        <v>0.48507116290061492</v>
      </c>
    </row>
    <row r="66" spans="1:14" x14ac:dyDescent="0.25">
      <c r="A66" s="60"/>
      <c r="B66" s="98"/>
      <c r="C66" s="62"/>
      <c r="D66" s="63"/>
      <c r="E66" s="64"/>
      <c r="F66" s="71"/>
      <c r="G66" s="132"/>
      <c r="H66" s="100"/>
      <c r="J66" s="40"/>
      <c r="K66" s="103"/>
      <c r="L66"/>
      <c r="M66" s="69"/>
      <c r="N66" s="70"/>
    </row>
    <row r="67" spans="1:14" x14ac:dyDescent="0.25">
      <c r="A67" s="32"/>
      <c r="B67" s="102"/>
      <c r="C67" s="34"/>
      <c r="D67" s="35"/>
      <c r="E67" s="36"/>
      <c r="F67" s="37"/>
      <c r="G67" s="134"/>
      <c r="H67" s="39"/>
      <c r="J67" s="40"/>
      <c r="K67" s="103"/>
      <c r="L67"/>
      <c r="M67" s="42"/>
      <c r="N67" s="104"/>
    </row>
    <row r="68" spans="1:14" x14ac:dyDescent="0.25">
      <c r="A68" s="32"/>
      <c r="B68" s="105"/>
      <c r="C68" s="34"/>
      <c r="D68" s="35"/>
      <c r="E68" s="36"/>
      <c r="F68" s="37"/>
      <c r="G68" s="134"/>
      <c r="H68" s="39"/>
      <c r="J68" s="40"/>
      <c r="K68" s="103"/>
      <c r="L68"/>
      <c r="M68" s="42"/>
      <c r="N68" s="104"/>
    </row>
    <row r="69" spans="1:14" x14ac:dyDescent="0.25">
      <c r="A69" s="32">
        <v>1</v>
      </c>
      <c r="B69" s="33" t="s">
        <v>62</v>
      </c>
      <c r="C69" s="34">
        <v>6</v>
      </c>
      <c r="D69" s="35"/>
      <c r="E69" s="36">
        <f t="shared" ref="E69:E74" si="13">C69+D69</f>
        <v>6</v>
      </c>
      <c r="F69" s="34">
        <v>2</v>
      </c>
      <c r="G69" s="108">
        <v>17.8</v>
      </c>
      <c r="H69" s="39">
        <v>968197.7</v>
      </c>
      <c r="J69" s="112"/>
      <c r="K69" s="113"/>
      <c r="L69"/>
      <c r="M69" s="42" t="e">
        <f t="shared" ref="M69:N73" si="14">G69/J69</f>
        <v>#DIV/0!</v>
      </c>
      <c r="N69" s="43" t="e">
        <f t="shared" si="14"/>
        <v>#DIV/0!</v>
      </c>
    </row>
    <row r="70" spans="1:14" x14ac:dyDescent="0.25">
      <c r="A70" s="32">
        <f>A69+1</f>
        <v>2</v>
      </c>
      <c r="B70" s="33" t="s">
        <v>63</v>
      </c>
      <c r="C70" s="34">
        <v>3</v>
      </c>
      <c r="D70" s="35"/>
      <c r="E70" s="36">
        <f t="shared" si="13"/>
        <v>3</v>
      </c>
      <c r="F70" s="34">
        <v>1</v>
      </c>
      <c r="G70" s="35">
        <v>4</v>
      </c>
      <c r="H70" s="39">
        <v>224363</v>
      </c>
      <c r="J70" s="112"/>
      <c r="K70" s="113"/>
      <c r="L70"/>
      <c r="M70" s="42" t="e">
        <f t="shared" si="14"/>
        <v>#DIV/0!</v>
      </c>
      <c r="N70" s="43" t="e">
        <f t="shared" si="14"/>
        <v>#DIV/0!</v>
      </c>
    </row>
    <row r="71" spans="1:14" x14ac:dyDescent="0.25">
      <c r="A71" s="32">
        <f>A70+1</f>
        <v>3</v>
      </c>
      <c r="B71" s="33" t="s">
        <v>64</v>
      </c>
      <c r="C71" s="34">
        <v>2</v>
      </c>
      <c r="D71" s="35">
        <v>1</v>
      </c>
      <c r="E71" s="36">
        <f t="shared" si="13"/>
        <v>3</v>
      </c>
      <c r="F71" s="34"/>
      <c r="G71" s="35"/>
      <c r="H71" s="39"/>
      <c r="J71" s="112"/>
      <c r="K71" s="113"/>
      <c r="L71"/>
      <c r="M71" s="42" t="e">
        <f t="shared" si="14"/>
        <v>#DIV/0!</v>
      </c>
      <c r="N71" s="43" t="e">
        <f t="shared" si="14"/>
        <v>#DIV/0!</v>
      </c>
    </row>
    <row r="72" spans="1:14" x14ac:dyDescent="0.25">
      <c r="A72" s="32">
        <f>A71+1</f>
        <v>4</v>
      </c>
      <c r="B72" s="33" t="s">
        <v>65</v>
      </c>
      <c r="C72" s="34">
        <v>6</v>
      </c>
      <c r="D72" s="35">
        <v>4</v>
      </c>
      <c r="E72" s="36">
        <f t="shared" si="13"/>
        <v>10</v>
      </c>
      <c r="F72" s="34">
        <v>1</v>
      </c>
      <c r="G72" s="35">
        <v>25</v>
      </c>
      <c r="H72" s="39">
        <v>1441470</v>
      </c>
      <c r="J72" s="112">
        <v>21</v>
      </c>
      <c r="K72" s="113">
        <v>1062045.5028901733</v>
      </c>
      <c r="L72"/>
      <c r="M72" s="42">
        <f t="shared" si="14"/>
        <v>1.1904761904761905</v>
      </c>
      <c r="N72" s="43">
        <f t="shared" si="14"/>
        <v>1.3572582305346508</v>
      </c>
    </row>
    <row r="73" spans="1:14" x14ac:dyDescent="0.25">
      <c r="A73" s="32">
        <f>A72+1</f>
        <v>5</v>
      </c>
      <c r="B73" s="33" t="s">
        <v>66</v>
      </c>
      <c r="C73" s="34">
        <v>2</v>
      </c>
      <c r="D73" s="35"/>
      <c r="E73" s="36">
        <f t="shared" si="13"/>
        <v>2</v>
      </c>
      <c r="F73" s="34"/>
      <c r="G73" s="35"/>
      <c r="H73" s="39"/>
      <c r="I73" s="48"/>
      <c r="J73" s="40"/>
      <c r="K73" s="103"/>
      <c r="L73" s="48"/>
      <c r="M73" s="42" t="e">
        <f t="shared" si="14"/>
        <v>#DIV/0!</v>
      </c>
      <c r="N73" s="43" t="e">
        <f t="shared" si="14"/>
        <v>#DIV/0!</v>
      </c>
    </row>
    <row r="74" spans="1:14" x14ac:dyDescent="0.25">
      <c r="A74" s="32">
        <f>A73+1</f>
        <v>6</v>
      </c>
      <c r="B74" s="33" t="s">
        <v>67</v>
      </c>
      <c r="C74" s="34">
        <v>9</v>
      </c>
      <c r="D74" s="35">
        <v>2</v>
      </c>
      <c r="E74" s="36">
        <f t="shared" si="13"/>
        <v>11</v>
      </c>
      <c r="F74" s="34"/>
      <c r="G74" s="35"/>
      <c r="H74" s="39"/>
      <c r="J74" s="135">
        <v>330</v>
      </c>
      <c r="K74" s="136">
        <v>13341525.699421965</v>
      </c>
      <c r="L74"/>
      <c r="M74" s="65">
        <f>(G75+G76)/J74</f>
        <v>0.48393939393939389</v>
      </c>
      <c r="N74" s="66">
        <f>(H75+H76)/K74</f>
        <v>0.66874710591657138</v>
      </c>
    </row>
    <row r="75" spans="1:14" s="48" customFormat="1" x14ac:dyDescent="0.25">
      <c r="A75" s="51"/>
      <c r="B75" s="57" t="s">
        <v>68</v>
      </c>
      <c r="C75" s="53"/>
      <c r="D75" s="54"/>
      <c r="E75" s="55"/>
      <c r="F75" s="53"/>
      <c r="G75" s="54"/>
      <c r="H75" s="56"/>
      <c r="J75" s="40"/>
      <c r="K75" s="103"/>
      <c r="M75" s="49" t="e">
        <f>(G75+G76)/J75</f>
        <v>#DIV/0!</v>
      </c>
      <c r="N75" s="50" t="e">
        <f>(H75+H76)/K75</f>
        <v>#DIV/0!</v>
      </c>
    </row>
    <row r="76" spans="1:14" x14ac:dyDescent="0.25">
      <c r="A76" s="32"/>
      <c r="B76" s="57" t="s">
        <v>69</v>
      </c>
      <c r="C76" s="34"/>
      <c r="D76" s="35"/>
      <c r="E76" s="36"/>
      <c r="F76" s="34">
        <v>11</v>
      </c>
      <c r="G76" s="35">
        <v>159.69999999999999</v>
      </c>
      <c r="H76" s="39">
        <v>8922106.6999999993</v>
      </c>
      <c r="J76" s="40"/>
      <c r="K76" s="103"/>
      <c r="L76"/>
      <c r="M76" s="42"/>
      <c r="N76" s="43"/>
    </row>
    <row r="77" spans="1:14" x14ac:dyDescent="0.25">
      <c r="A77" s="32">
        <v>7</v>
      </c>
      <c r="B77" s="33" t="s">
        <v>70</v>
      </c>
      <c r="C77" s="34"/>
      <c r="D77" s="35"/>
      <c r="E77" s="36">
        <f>C77+D77</f>
        <v>0</v>
      </c>
      <c r="F77" s="34"/>
      <c r="G77" s="35"/>
      <c r="H77" s="39"/>
      <c r="J77" s="40"/>
      <c r="K77" s="103"/>
      <c r="L77"/>
      <c r="M77" s="109" t="e">
        <f>(G77+G81)/J77</f>
        <v>#DIV/0!</v>
      </c>
      <c r="N77" s="66" t="e">
        <f>(H77+H81)/K77</f>
        <v>#DIV/0!</v>
      </c>
    </row>
    <row r="78" spans="1:14" x14ac:dyDescent="0.25">
      <c r="A78" s="32">
        <f>A77+1</f>
        <v>8</v>
      </c>
      <c r="B78" s="33" t="s">
        <v>71</v>
      </c>
      <c r="C78" s="34">
        <v>3</v>
      </c>
      <c r="D78" s="35"/>
      <c r="E78" s="36">
        <f>C78+D78</f>
        <v>3</v>
      </c>
      <c r="F78" s="34"/>
      <c r="G78" s="35"/>
      <c r="H78" s="39"/>
      <c r="J78" s="112"/>
      <c r="K78" s="113"/>
      <c r="L78"/>
      <c r="M78" s="42" t="e">
        <f>G78/J78</f>
        <v>#DIV/0!</v>
      </c>
      <c r="N78" s="43" t="e">
        <f>H78/K78</f>
        <v>#DIV/0!</v>
      </c>
    </row>
    <row r="79" spans="1:14" x14ac:dyDescent="0.25">
      <c r="A79" s="32">
        <f>A78+1</f>
        <v>9</v>
      </c>
      <c r="B79" s="33" t="s">
        <v>72</v>
      </c>
      <c r="C79" s="34">
        <v>3</v>
      </c>
      <c r="D79" s="35">
        <v>2</v>
      </c>
      <c r="E79" s="36">
        <f>C79+D79</f>
        <v>5</v>
      </c>
      <c r="F79" s="34">
        <v>2</v>
      </c>
      <c r="G79" s="35">
        <v>49</v>
      </c>
      <c r="H79" s="39">
        <v>2560530</v>
      </c>
      <c r="J79" s="112">
        <v>35</v>
      </c>
      <c r="K79" s="113">
        <v>1745620.1849710983</v>
      </c>
      <c r="L79"/>
      <c r="M79" s="153">
        <f>(G78+G79)/J79</f>
        <v>1.4</v>
      </c>
      <c r="N79" s="50">
        <f>(H78+H79)/K79</f>
        <v>1.4668311136894845</v>
      </c>
    </row>
    <row r="80" spans="1:14" s="48" customFormat="1" x14ac:dyDescent="0.25">
      <c r="A80" s="51">
        <f>A79+1</f>
        <v>10</v>
      </c>
      <c r="B80" s="154" t="s">
        <v>73</v>
      </c>
      <c r="C80" s="53">
        <v>6</v>
      </c>
      <c r="D80" s="54">
        <v>1</v>
      </c>
      <c r="E80" s="55">
        <f>C80+D80</f>
        <v>7</v>
      </c>
      <c r="F80" s="53"/>
      <c r="G80" s="54"/>
      <c r="H80" s="56"/>
      <c r="J80" s="112"/>
      <c r="K80" s="113"/>
      <c r="M80" s="155" t="e">
        <f>(G81+G82)/J80</f>
        <v>#DIV/0!</v>
      </c>
      <c r="N80" s="66" t="e">
        <f>(H81+H82)/K80</f>
        <v>#DIV/0!</v>
      </c>
    </row>
    <row r="81" spans="1:32" s="48" customFormat="1" x14ac:dyDescent="0.25">
      <c r="A81" s="51"/>
      <c r="B81" s="154" t="s">
        <v>74</v>
      </c>
      <c r="C81" s="53"/>
      <c r="D81" s="54"/>
      <c r="E81" s="55">
        <f>C81+D81</f>
        <v>0</v>
      </c>
      <c r="F81" s="53">
        <v>6</v>
      </c>
      <c r="G81" s="54">
        <v>268</v>
      </c>
      <c r="H81" s="56">
        <v>13595710.5</v>
      </c>
      <c r="J81" s="112">
        <v>528</v>
      </c>
      <c r="K81" s="113">
        <v>20198726.289017342</v>
      </c>
      <c r="M81" s="109"/>
      <c r="N81" s="66"/>
    </row>
    <row r="82" spans="1:32" s="48" customFormat="1" x14ac:dyDescent="0.25">
      <c r="A82" s="51"/>
      <c r="B82" s="156" t="s">
        <v>75</v>
      </c>
      <c r="C82" s="157"/>
      <c r="D82" s="158"/>
      <c r="E82" s="55"/>
      <c r="F82" s="53"/>
      <c r="G82" s="54"/>
      <c r="H82" s="56"/>
      <c r="J82" s="112"/>
      <c r="K82" s="113"/>
      <c r="M82" s="109"/>
      <c r="N82" s="66"/>
    </row>
    <row r="83" spans="1:32" x14ac:dyDescent="0.25">
      <c r="A83" s="32">
        <f>A80+1</f>
        <v>11</v>
      </c>
      <c r="B83" s="33" t="s">
        <v>76</v>
      </c>
      <c r="C83" s="53"/>
      <c r="D83" s="54"/>
      <c r="E83" s="36">
        <f>C83+D83</f>
        <v>0</v>
      </c>
      <c r="F83" s="34"/>
      <c r="G83" s="35"/>
      <c r="H83" s="39"/>
      <c r="J83" s="112"/>
      <c r="K83" s="113"/>
      <c r="L83"/>
      <c r="M83" s="42" t="e">
        <f>G83/J83</f>
        <v>#DIV/0!</v>
      </c>
      <c r="N83" s="43" t="e">
        <f>H83/K83</f>
        <v>#DIV/0!</v>
      </c>
    </row>
    <row r="84" spans="1:32" ht="15.75" thickBot="1" x14ac:dyDescent="0.3">
      <c r="A84" s="159"/>
      <c r="B84" s="76"/>
      <c r="C84" s="45"/>
      <c r="D84" s="46"/>
      <c r="E84" s="77"/>
      <c r="F84" s="78"/>
      <c r="G84" s="114"/>
      <c r="H84" s="80"/>
      <c r="J84" s="137"/>
      <c r="K84" s="116"/>
      <c r="L84"/>
      <c r="M84" s="83"/>
      <c r="N84" s="117"/>
    </row>
    <row r="85" spans="1:32" ht="15.75" thickBot="1" x14ac:dyDescent="0.3">
      <c r="A85" s="160"/>
      <c r="B85" s="161" t="s">
        <v>77</v>
      </c>
      <c r="C85" s="162">
        <f t="shared" ref="C85:H85" si="15">SUM(C68:C83)</f>
        <v>40</v>
      </c>
      <c r="D85" s="163">
        <f t="shared" si="15"/>
        <v>10</v>
      </c>
      <c r="E85" s="164">
        <f t="shared" si="15"/>
        <v>50</v>
      </c>
      <c r="F85" s="165">
        <f t="shared" si="15"/>
        <v>23</v>
      </c>
      <c r="G85" s="252">
        <f t="shared" si="15"/>
        <v>523.5</v>
      </c>
      <c r="H85" s="167">
        <f t="shared" si="15"/>
        <v>27712377.899999999</v>
      </c>
      <c r="J85" s="169">
        <f>SUM(J68:J84)</f>
        <v>914</v>
      </c>
      <c r="K85" s="170">
        <f>SUM(K68:K84)</f>
        <v>36347917.676300578</v>
      </c>
      <c r="L85"/>
      <c r="M85" s="171">
        <f>G85/J85</f>
        <v>0.57275711159737419</v>
      </c>
      <c r="N85" s="172">
        <f>H85/K85</f>
        <v>0.76241995887618375</v>
      </c>
    </row>
    <row r="86" spans="1:32" x14ac:dyDescent="0.25">
      <c r="A86" s="173"/>
      <c r="B86" s="98"/>
      <c r="C86" s="62"/>
      <c r="D86" s="63"/>
      <c r="E86" s="100"/>
      <c r="F86" s="99"/>
      <c r="G86" s="132"/>
      <c r="H86" s="174"/>
      <c r="J86" s="175"/>
      <c r="K86" s="176"/>
      <c r="L86"/>
      <c r="M86" s="177"/>
      <c r="N86" s="178"/>
    </row>
    <row r="87" spans="1:32" x14ac:dyDescent="0.25">
      <c r="A87" s="179"/>
      <c r="B87" s="102"/>
      <c r="C87" s="180"/>
      <c r="D87" s="181"/>
      <c r="E87" s="182"/>
      <c r="F87" s="151"/>
      <c r="G87" s="183"/>
      <c r="H87" s="184"/>
      <c r="J87" s="99"/>
      <c r="K87" s="174"/>
      <c r="L87"/>
      <c r="M87" s="177"/>
      <c r="N87" s="178"/>
    </row>
    <row r="88" spans="1:32" x14ac:dyDescent="0.25">
      <c r="A88" s="179"/>
      <c r="B88" s="185"/>
      <c r="C88" s="34"/>
      <c r="D88" s="35"/>
      <c r="E88" s="39"/>
      <c r="F88" s="133"/>
      <c r="G88" s="134"/>
      <c r="H88" s="152"/>
      <c r="J88" s="186"/>
      <c r="K88" s="152"/>
      <c r="L88"/>
      <c r="M88" s="42"/>
      <c r="N88" s="43"/>
    </row>
    <row r="89" spans="1:32" ht="15.75" thickBot="1" x14ac:dyDescent="0.3">
      <c r="A89" s="187"/>
      <c r="B89" s="188"/>
      <c r="C89" s="189"/>
      <c r="D89" s="190"/>
      <c r="E89" s="191"/>
      <c r="F89" s="192"/>
      <c r="G89" s="193"/>
      <c r="H89" s="191"/>
      <c r="J89" s="194"/>
      <c r="K89" s="195"/>
      <c r="L89"/>
      <c r="M89" s="196"/>
      <c r="N89" s="197"/>
    </row>
    <row r="90" spans="1:32" ht="15.75" thickBot="1" x14ac:dyDescent="0.3">
      <c r="A90" s="198"/>
      <c r="B90" s="199" t="s">
        <v>78</v>
      </c>
      <c r="C90" s="200">
        <f t="shared" ref="C90:G90" si="16">C85+C65+C53+C42</f>
        <v>303</v>
      </c>
      <c r="D90" s="200">
        <f t="shared" si="16"/>
        <v>137</v>
      </c>
      <c r="E90" s="200">
        <f t="shared" si="16"/>
        <v>439</v>
      </c>
      <c r="F90" s="200">
        <f>F85+F65+F53+F42</f>
        <v>309</v>
      </c>
      <c r="G90" s="200">
        <f t="shared" si="16"/>
        <v>6289.3</v>
      </c>
      <c r="H90" s="200">
        <f>H85+H65+H53+H42</f>
        <v>320604929.70000005</v>
      </c>
      <c r="J90" s="200">
        <f>J85+J65+J53+J42</f>
        <v>3979</v>
      </c>
      <c r="K90" s="200">
        <f>K85+K65+K53+K42</f>
        <v>176678878.0780347</v>
      </c>
      <c r="L90"/>
      <c r="M90" s="202">
        <f>G90/J90</f>
        <v>1.5806232721789395</v>
      </c>
      <c r="N90" s="203">
        <f>H90/K90</f>
        <v>1.8146194564264595</v>
      </c>
    </row>
    <row r="91" spans="1:32" x14ac:dyDescent="0.25">
      <c r="G91" s="204"/>
      <c r="H91" s="204"/>
      <c r="J91" s="110"/>
      <c r="K91" s="111"/>
      <c r="M91" s="205"/>
      <c r="N91" s="206"/>
      <c r="P91" s="110"/>
      <c r="Q91" s="111"/>
      <c r="S91" s="110"/>
      <c r="T91" s="111"/>
      <c r="V91" s="110"/>
      <c r="W91" s="111"/>
      <c r="Y91" s="111"/>
      <c r="Z91" s="111"/>
      <c r="AB91" s="110"/>
      <c r="AC91" s="110"/>
      <c r="AE91" s="207"/>
      <c r="AF91" s="207"/>
    </row>
    <row r="92" spans="1:32" x14ac:dyDescent="0.25">
      <c r="C92" s="208"/>
      <c r="D92" s="209"/>
      <c r="E92" s="209"/>
      <c r="G92" s="204"/>
      <c r="H92" s="204"/>
      <c r="J92" s="204"/>
      <c r="K92" s="204"/>
      <c r="M92" s="204"/>
      <c r="N92" s="204"/>
      <c r="P92" s="204"/>
      <c r="Q92" s="110"/>
      <c r="S92" s="204"/>
      <c r="T92" s="110"/>
      <c r="V92" s="110"/>
      <c r="W92" s="110"/>
      <c r="Y92" s="110"/>
      <c r="Z92" s="110"/>
      <c r="AB92" s="110"/>
      <c r="AC92" s="110"/>
      <c r="AE92" s="207"/>
      <c r="AF92" s="207"/>
    </row>
    <row r="93" spans="1:32" ht="15.75" thickBot="1" x14ac:dyDescent="0.3">
      <c r="B93" s="210"/>
      <c r="C93" s="208"/>
      <c r="D93" s="209"/>
      <c r="E93" s="209"/>
      <c r="F93" s="211"/>
      <c r="G93" s="209"/>
      <c r="H93" s="209"/>
      <c r="K93" s="110"/>
      <c r="X93" s="111"/>
      <c r="Y93" s="111"/>
      <c r="Z93" s="111"/>
      <c r="AE93" s="207"/>
      <c r="AF93" s="207"/>
    </row>
    <row r="94" spans="1:32" ht="30.75" thickBot="1" x14ac:dyDescent="0.3">
      <c r="B94" s="210"/>
      <c r="C94" s="212" t="s">
        <v>79</v>
      </c>
      <c r="D94" s="213"/>
      <c r="E94" s="213"/>
      <c r="F94" s="243"/>
      <c r="G94" s="214" t="s">
        <v>80</v>
      </c>
      <c r="H94" s="215" t="s">
        <v>81</v>
      </c>
      <c r="J94" s="330" t="str">
        <f>J5</f>
        <v>BUDGET MEI</v>
      </c>
      <c r="K94" s="331"/>
      <c r="L94"/>
      <c r="M94" s="332" t="s">
        <v>5</v>
      </c>
      <c r="N94" s="333"/>
    </row>
    <row r="95" spans="1:32" x14ac:dyDescent="0.25">
      <c r="B95" s="209"/>
      <c r="C95" s="216" t="s">
        <v>82</v>
      </c>
      <c r="D95" s="217"/>
      <c r="E95" s="217"/>
      <c r="F95" s="244"/>
      <c r="G95" s="218">
        <f>G42+G53</f>
        <v>5266.3</v>
      </c>
      <c r="H95" s="218">
        <f>H42+H53</f>
        <v>267884505.30000001</v>
      </c>
      <c r="J95" s="219">
        <f>J42+J53</f>
        <v>1800</v>
      </c>
      <c r="K95" s="219">
        <f>K42+K53</f>
        <v>88775542.531791925</v>
      </c>
      <c r="L95"/>
      <c r="M95" s="220">
        <f t="shared" ref="M95:N98" si="17">G95/J95</f>
        <v>2.9257222222222223</v>
      </c>
      <c r="N95" s="221">
        <f t="shared" si="17"/>
        <v>3.0175485010870684</v>
      </c>
    </row>
    <row r="96" spans="1:32" x14ac:dyDescent="0.25">
      <c r="B96" s="209"/>
      <c r="C96" s="216" t="s">
        <v>83</v>
      </c>
      <c r="D96" s="217"/>
      <c r="E96" s="217"/>
      <c r="F96" s="244"/>
      <c r="G96" s="222">
        <f>G65</f>
        <v>499.5</v>
      </c>
      <c r="H96" s="223">
        <f>H65</f>
        <v>25008046.5</v>
      </c>
      <c r="J96" s="224">
        <f>J65</f>
        <v>1265</v>
      </c>
      <c r="K96" s="224">
        <f>K65</f>
        <v>51555417.869942188</v>
      </c>
      <c r="L96"/>
      <c r="M96" s="225">
        <f t="shared" si="17"/>
        <v>0.39486166007905138</v>
      </c>
      <c r="N96" s="226">
        <f t="shared" si="17"/>
        <v>0.48507116290061492</v>
      </c>
    </row>
    <row r="97" spans="2:29" ht="15.75" thickBot="1" x14ac:dyDescent="0.3">
      <c r="B97" s="209"/>
      <c r="C97" s="216" t="s">
        <v>84</v>
      </c>
      <c r="D97" s="217"/>
      <c r="E97" s="217"/>
      <c r="F97" s="244"/>
      <c r="G97" s="227">
        <f>G85</f>
        <v>523.5</v>
      </c>
      <c r="H97" s="228">
        <f>H85</f>
        <v>27712377.899999999</v>
      </c>
      <c r="J97" s="229">
        <f>J85</f>
        <v>914</v>
      </c>
      <c r="K97" s="230">
        <f>K85</f>
        <v>36347917.676300578</v>
      </c>
      <c r="L97"/>
      <c r="M97" s="231">
        <f t="shared" si="17"/>
        <v>0.57275711159737419</v>
      </c>
      <c r="N97" s="232">
        <f t="shared" si="17"/>
        <v>0.76241995887618375</v>
      </c>
    </row>
    <row r="98" spans="2:29" ht="15.75" thickBot="1" x14ac:dyDescent="0.3">
      <c r="C98" s="233" t="s">
        <v>78</v>
      </c>
      <c r="D98" s="234"/>
      <c r="E98" s="234"/>
      <c r="F98" s="245"/>
      <c r="G98" s="235">
        <f>SUM(G95:G97)</f>
        <v>6289.3</v>
      </c>
      <c r="H98" s="236">
        <f>SUM(H95:H97)</f>
        <v>320604929.69999999</v>
      </c>
      <c r="J98" s="237">
        <f>SUM(J95:J97)</f>
        <v>3979</v>
      </c>
      <c r="K98" s="238">
        <f>SUM(K95:K97)</f>
        <v>176678878.0780347</v>
      </c>
      <c r="L98"/>
      <c r="M98" s="239">
        <f t="shared" si="17"/>
        <v>1.5806232721789395</v>
      </c>
      <c r="N98" s="240">
        <f t="shared" si="17"/>
        <v>1.8146194564264593</v>
      </c>
    </row>
    <row r="99" spans="2:29" x14ac:dyDescent="0.25">
      <c r="C99" s="208"/>
      <c r="D99" s="209"/>
      <c r="E99" s="209"/>
      <c r="F99" s="209"/>
      <c r="G99" s="209"/>
      <c r="H99" s="4"/>
      <c r="I99" s="4"/>
      <c r="J99" s="4"/>
      <c r="K99" s="4"/>
      <c r="N99"/>
      <c r="Q99" s="209"/>
      <c r="R99" s="209"/>
      <c r="S99" s="209"/>
      <c r="T99" s="209"/>
      <c r="U99" s="209"/>
      <c r="V99" s="209"/>
      <c r="W99" s="209"/>
      <c r="X99" s="241"/>
      <c r="Y99" s="241"/>
      <c r="Z99" s="241"/>
      <c r="AA99" s="241"/>
      <c r="AB99" s="241"/>
    </row>
    <row r="100" spans="2:29" x14ac:dyDescent="0.25">
      <c r="AB100" s="242"/>
      <c r="AC100" s="242"/>
    </row>
    <row r="102" spans="2:29" x14ac:dyDescent="0.25">
      <c r="B102" s="47"/>
    </row>
    <row r="103" spans="2:29" x14ac:dyDescent="0.25">
      <c r="B103" s="47"/>
    </row>
    <row r="104" spans="2:29" x14ac:dyDescent="0.25">
      <c r="B104" s="47"/>
    </row>
    <row r="105" spans="2:29" x14ac:dyDescent="0.25">
      <c r="B105" s="47"/>
    </row>
  </sheetData>
  <mergeCells count="6">
    <mergeCell ref="C5:E5"/>
    <mergeCell ref="F5:H5"/>
    <mergeCell ref="J5:K5"/>
    <mergeCell ref="M5:N5"/>
    <mergeCell ref="J94:K94"/>
    <mergeCell ref="M94:N9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04"/>
  <sheetViews>
    <sheetView topLeftCell="A79" workbookViewId="0">
      <selection activeCell="G102" sqref="G102"/>
    </sheetView>
  </sheetViews>
  <sheetFormatPr defaultRowHeight="15" x14ac:dyDescent="0.25"/>
  <cols>
    <col min="1" max="1" width="7.140625" customWidth="1"/>
    <col min="2" max="2" width="39.42578125" customWidth="1"/>
    <col min="3" max="3" width="6.7109375" customWidth="1"/>
    <col min="4" max="4" width="5.7109375" customWidth="1"/>
    <col min="5" max="5" width="5.85546875" customWidth="1"/>
    <col min="6" max="6" width="7.85546875" customWidth="1"/>
    <col min="7" max="7" width="14.28515625" customWidth="1"/>
    <col min="8" max="8" width="14" customWidth="1"/>
    <col min="9" max="9" width="1.85546875" customWidth="1"/>
    <col min="10" max="10" width="9.140625" customWidth="1"/>
    <col min="11" max="11" width="13.5703125" bestFit="1" customWidth="1"/>
    <col min="12" max="12" width="1.42578125" style="4" customWidth="1"/>
    <col min="13" max="14" width="9.140625" style="4" customWidth="1"/>
    <col min="15" max="23" width="9.140625" customWidth="1"/>
    <col min="24" max="24" width="11.5703125" customWidth="1"/>
    <col min="25" max="25" width="11.85546875" customWidth="1"/>
    <col min="26" max="26" width="15.7109375" customWidth="1"/>
    <col min="27" max="27" width="1.5703125" customWidth="1"/>
    <col min="28" max="28" width="10.5703125" customWidth="1"/>
    <col min="29" max="29" width="20.7109375" customWidth="1"/>
    <col min="30" max="30" width="2" customWidth="1"/>
    <col min="31" max="31" width="10.140625" customWidth="1"/>
    <col min="32" max="32" width="13.7109375" customWidth="1"/>
    <col min="33" max="33" width="16.5703125" customWidth="1"/>
    <col min="34" max="34" width="16" customWidth="1"/>
    <col min="35" max="244" width="9.42578125" customWidth="1"/>
    <col min="245" max="245" width="7.140625" customWidth="1"/>
    <col min="246" max="246" width="35.28515625" customWidth="1"/>
    <col min="247" max="247" width="6.7109375" customWidth="1"/>
    <col min="248" max="248" width="5.7109375" customWidth="1"/>
    <col min="249" max="249" width="5.85546875" customWidth="1"/>
    <col min="250" max="250" width="7.85546875" customWidth="1"/>
    <col min="257" max="257" width="7.140625" customWidth="1"/>
    <col min="258" max="258" width="39.42578125" customWidth="1"/>
    <col min="259" max="259" width="6.7109375" customWidth="1"/>
    <col min="260" max="260" width="5.7109375" customWidth="1"/>
    <col min="261" max="261" width="5.85546875" customWidth="1"/>
    <col min="262" max="262" width="7.85546875" customWidth="1"/>
    <col min="263" max="263" width="14.28515625" customWidth="1"/>
    <col min="264" max="264" width="14" customWidth="1"/>
    <col min="265" max="279" width="0" hidden="1" customWidth="1"/>
    <col min="280" max="280" width="11.5703125" customWidth="1"/>
    <col min="281" max="281" width="11.85546875" customWidth="1"/>
    <col min="282" max="282" width="15.7109375" customWidth="1"/>
    <col min="283" max="283" width="1.5703125" customWidth="1"/>
    <col min="284" max="284" width="10.5703125" customWidth="1"/>
    <col min="285" max="285" width="20.7109375" customWidth="1"/>
    <col min="286" max="286" width="2" customWidth="1"/>
    <col min="287" max="287" width="10.140625" customWidth="1"/>
    <col min="288" max="288" width="13.7109375" customWidth="1"/>
    <col min="289" max="289" width="16.5703125" customWidth="1"/>
    <col min="290" max="290" width="16" customWidth="1"/>
    <col min="291" max="500" width="9.42578125" customWidth="1"/>
    <col min="501" max="501" width="7.140625" customWidth="1"/>
    <col min="502" max="502" width="35.28515625" customWidth="1"/>
    <col min="503" max="503" width="6.7109375" customWidth="1"/>
    <col min="504" max="504" width="5.7109375" customWidth="1"/>
    <col min="505" max="505" width="5.85546875" customWidth="1"/>
    <col min="506" max="506" width="7.85546875" customWidth="1"/>
    <col min="513" max="513" width="7.140625" customWidth="1"/>
    <col min="514" max="514" width="39.42578125" customWidth="1"/>
    <col min="515" max="515" width="6.7109375" customWidth="1"/>
    <col min="516" max="516" width="5.7109375" customWidth="1"/>
    <col min="517" max="517" width="5.85546875" customWidth="1"/>
    <col min="518" max="518" width="7.85546875" customWidth="1"/>
    <col min="519" max="519" width="14.28515625" customWidth="1"/>
    <col min="520" max="520" width="14" customWidth="1"/>
    <col min="521" max="535" width="0" hidden="1" customWidth="1"/>
    <col min="536" max="536" width="11.5703125" customWidth="1"/>
    <col min="537" max="537" width="11.85546875" customWidth="1"/>
    <col min="538" max="538" width="15.7109375" customWidth="1"/>
    <col min="539" max="539" width="1.5703125" customWidth="1"/>
    <col min="540" max="540" width="10.5703125" customWidth="1"/>
    <col min="541" max="541" width="20.7109375" customWidth="1"/>
    <col min="542" max="542" width="2" customWidth="1"/>
    <col min="543" max="543" width="10.140625" customWidth="1"/>
    <col min="544" max="544" width="13.7109375" customWidth="1"/>
    <col min="545" max="545" width="16.5703125" customWidth="1"/>
    <col min="546" max="546" width="16" customWidth="1"/>
    <col min="547" max="756" width="9.42578125" customWidth="1"/>
    <col min="757" max="757" width="7.140625" customWidth="1"/>
    <col min="758" max="758" width="35.28515625" customWidth="1"/>
    <col min="759" max="759" width="6.7109375" customWidth="1"/>
    <col min="760" max="760" width="5.7109375" customWidth="1"/>
    <col min="761" max="761" width="5.85546875" customWidth="1"/>
    <col min="762" max="762" width="7.85546875" customWidth="1"/>
    <col min="769" max="769" width="7.140625" customWidth="1"/>
    <col min="770" max="770" width="39.42578125" customWidth="1"/>
    <col min="771" max="771" width="6.7109375" customWidth="1"/>
    <col min="772" max="772" width="5.7109375" customWidth="1"/>
    <col min="773" max="773" width="5.85546875" customWidth="1"/>
    <col min="774" max="774" width="7.85546875" customWidth="1"/>
    <col min="775" max="775" width="14.28515625" customWidth="1"/>
    <col min="776" max="776" width="14" customWidth="1"/>
    <col min="777" max="791" width="0" hidden="1" customWidth="1"/>
    <col min="792" max="792" width="11.5703125" customWidth="1"/>
    <col min="793" max="793" width="11.85546875" customWidth="1"/>
    <col min="794" max="794" width="15.7109375" customWidth="1"/>
    <col min="795" max="795" width="1.5703125" customWidth="1"/>
    <col min="796" max="796" width="10.5703125" customWidth="1"/>
    <col min="797" max="797" width="20.7109375" customWidth="1"/>
    <col min="798" max="798" width="2" customWidth="1"/>
    <col min="799" max="799" width="10.140625" customWidth="1"/>
    <col min="800" max="800" width="13.7109375" customWidth="1"/>
    <col min="801" max="801" width="16.5703125" customWidth="1"/>
    <col min="802" max="802" width="16" customWidth="1"/>
    <col min="803" max="1012" width="9.42578125" customWidth="1"/>
    <col min="1013" max="1013" width="7.140625" customWidth="1"/>
    <col min="1014" max="1014" width="35.28515625" customWidth="1"/>
    <col min="1015" max="1015" width="6.7109375" customWidth="1"/>
    <col min="1016" max="1016" width="5.7109375" customWidth="1"/>
    <col min="1017" max="1017" width="5.85546875" customWidth="1"/>
    <col min="1018" max="1018" width="7.85546875" customWidth="1"/>
    <col min="1025" max="1025" width="7.140625" customWidth="1"/>
    <col min="1026" max="1026" width="39.42578125" customWidth="1"/>
    <col min="1027" max="1027" width="6.7109375" customWidth="1"/>
    <col min="1028" max="1028" width="5.7109375" customWidth="1"/>
    <col min="1029" max="1029" width="5.85546875" customWidth="1"/>
    <col min="1030" max="1030" width="7.85546875" customWidth="1"/>
    <col min="1031" max="1031" width="14.28515625" customWidth="1"/>
    <col min="1032" max="1032" width="14" customWidth="1"/>
    <col min="1033" max="1047" width="0" hidden="1" customWidth="1"/>
    <col min="1048" max="1048" width="11.5703125" customWidth="1"/>
    <col min="1049" max="1049" width="11.85546875" customWidth="1"/>
    <col min="1050" max="1050" width="15.7109375" customWidth="1"/>
    <col min="1051" max="1051" width="1.5703125" customWidth="1"/>
    <col min="1052" max="1052" width="10.5703125" customWidth="1"/>
    <col min="1053" max="1053" width="20.7109375" customWidth="1"/>
    <col min="1054" max="1054" width="2" customWidth="1"/>
    <col min="1055" max="1055" width="10.140625" customWidth="1"/>
    <col min="1056" max="1056" width="13.7109375" customWidth="1"/>
    <col min="1057" max="1057" width="16.5703125" customWidth="1"/>
    <col min="1058" max="1058" width="16" customWidth="1"/>
    <col min="1059" max="1268" width="9.42578125" customWidth="1"/>
    <col min="1269" max="1269" width="7.140625" customWidth="1"/>
    <col min="1270" max="1270" width="35.28515625" customWidth="1"/>
    <col min="1271" max="1271" width="6.7109375" customWidth="1"/>
    <col min="1272" max="1272" width="5.7109375" customWidth="1"/>
    <col min="1273" max="1273" width="5.85546875" customWidth="1"/>
    <col min="1274" max="1274" width="7.85546875" customWidth="1"/>
    <col min="1281" max="1281" width="7.140625" customWidth="1"/>
    <col min="1282" max="1282" width="39.42578125" customWidth="1"/>
    <col min="1283" max="1283" width="6.7109375" customWidth="1"/>
    <col min="1284" max="1284" width="5.7109375" customWidth="1"/>
    <col min="1285" max="1285" width="5.85546875" customWidth="1"/>
    <col min="1286" max="1286" width="7.85546875" customWidth="1"/>
    <col min="1287" max="1287" width="14.28515625" customWidth="1"/>
    <col min="1288" max="1288" width="14" customWidth="1"/>
    <col min="1289" max="1303" width="0" hidden="1" customWidth="1"/>
    <col min="1304" max="1304" width="11.5703125" customWidth="1"/>
    <col min="1305" max="1305" width="11.85546875" customWidth="1"/>
    <col min="1306" max="1306" width="15.7109375" customWidth="1"/>
    <col min="1307" max="1307" width="1.5703125" customWidth="1"/>
    <col min="1308" max="1308" width="10.5703125" customWidth="1"/>
    <col min="1309" max="1309" width="20.7109375" customWidth="1"/>
    <col min="1310" max="1310" width="2" customWidth="1"/>
    <col min="1311" max="1311" width="10.140625" customWidth="1"/>
    <col min="1312" max="1312" width="13.7109375" customWidth="1"/>
    <col min="1313" max="1313" width="16.5703125" customWidth="1"/>
    <col min="1314" max="1314" width="16" customWidth="1"/>
    <col min="1315" max="1524" width="9.42578125" customWidth="1"/>
    <col min="1525" max="1525" width="7.140625" customWidth="1"/>
    <col min="1526" max="1526" width="35.28515625" customWidth="1"/>
    <col min="1527" max="1527" width="6.7109375" customWidth="1"/>
    <col min="1528" max="1528" width="5.7109375" customWidth="1"/>
    <col min="1529" max="1529" width="5.85546875" customWidth="1"/>
    <col min="1530" max="1530" width="7.85546875" customWidth="1"/>
    <col min="1537" max="1537" width="7.140625" customWidth="1"/>
    <col min="1538" max="1538" width="39.42578125" customWidth="1"/>
    <col min="1539" max="1539" width="6.7109375" customWidth="1"/>
    <col min="1540" max="1540" width="5.7109375" customWidth="1"/>
    <col min="1541" max="1541" width="5.85546875" customWidth="1"/>
    <col min="1542" max="1542" width="7.85546875" customWidth="1"/>
    <col min="1543" max="1543" width="14.28515625" customWidth="1"/>
    <col min="1544" max="1544" width="14" customWidth="1"/>
    <col min="1545" max="1559" width="0" hidden="1" customWidth="1"/>
    <col min="1560" max="1560" width="11.5703125" customWidth="1"/>
    <col min="1561" max="1561" width="11.85546875" customWidth="1"/>
    <col min="1562" max="1562" width="15.7109375" customWidth="1"/>
    <col min="1563" max="1563" width="1.5703125" customWidth="1"/>
    <col min="1564" max="1564" width="10.5703125" customWidth="1"/>
    <col min="1565" max="1565" width="20.7109375" customWidth="1"/>
    <col min="1566" max="1566" width="2" customWidth="1"/>
    <col min="1567" max="1567" width="10.140625" customWidth="1"/>
    <col min="1568" max="1568" width="13.7109375" customWidth="1"/>
    <col min="1569" max="1569" width="16.5703125" customWidth="1"/>
    <col min="1570" max="1570" width="16" customWidth="1"/>
    <col min="1571" max="1780" width="9.42578125" customWidth="1"/>
    <col min="1781" max="1781" width="7.140625" customWidth="1"/>
    <col min="1782" max="1782" width="35.28515625" customWidth="1"/>
    <col min="1783" max="1783" width="6.7109375" customWidth="1"/>
    <col min="1784" max="1784" width="5.7109375" customWidth="1"/>
    <col min="1785" max="1785" width="5.85546875" customWidth="1"/>
    <col min="1786" max="1786" width="7.85546875" customWidth="1"/>
    <col min="1793" max="1793" width="7.140625" customWidth="1"/>
    <col min="1794" max="1794" width="39.42578125" customWidth="1"/>
    <col min="1795" max="1795" width="6.7109375" customWidth="1"/>
    <col min="1796" max="1796" width="5.7109375" customWidth="1"/>
    <col min="1797" max="1797" width="5.85546875" customWidth="1"/>
    <col min="1798" max="1798" width="7.85546875" customWidth="1"/>
    <col min="1799" max="1799" width="14.28515625" customWidth="1"/>
    <col min="1800" max="1800" width="14" customWidth="1"/>
    <col min="1801" max="1815" width="0" hidden="1" customWidth="1"/>
    <col min="1816" max="1816" width="11.5703125" customWidth="1"/>
    <col min="1817" max="1817" width="11.85546875" customWidth="1"/>
    <col min="1818" max="1818" width="15.7109375" customWidth="1"/>
    <col min="1819" max="1819" width="1.5703125" customWidth="1"/>
    <col min="1820" max="1820" width="10.5703125" customWidth="1"/>
    <col min="1821" max="1821" width="20.7109375" customWidth="1"/>
    <col min="1822" max="1822" width="2" customWidth="1"/>
    <col min="1823" max="1823" width="10.140625" customWidth="1"/>
    <col min="1824" max="1824" width="13.7109375" customWidth="1"/>
    <col min="1825" max="1825" width="16.5703125" customWidth="1"/>
    <col min="1826" max="1826" width="16" customWidth="1"/>
    <col min="1827" max="2036" width="9.42578125" customWidth="1"/>
    <col min="2037" max="2037" width="7.140625" customWidth="1"/>
    <col min="2038" max="2038" width="35.28515625" customWidth="1"/>
    <col min="2039" max="2039" width="6.7109375" customWidth="1"/>
    <col min="2040" max="2040" width="5.7109375" customWidth="1"/>
    <col min="2041" max="2041" width="5.85546875" customWidth="1"/>
    <col min="2042" max="2042" width="7.85546875" customWidth="1"/>
    <col min="2049" max="2049" width="7.140625" customWidth="1"/>
    <col min="2050" max="2050" width="39.42578125" customWidth="1"/>
    <col min="2051" max="2051" width="6.7109375" customWidth="1"/>
    <col min="2052" max="2052" width="5.7109375" customWidth="1"/>
    <col min="2053" max="2053" width="5.85546875" customWidth="1"/>
    <col min="2054" max="2054" width="7.85546875" customWidth="1"/>
    <col min="2055" max="2055" width="14.28515625" customWidth="1"/>
    <col min="2056" max="2056" width="14" customWidth="1"/>
    <col min="2057" max="2071" width="0" hidden="1" customWidth="1"/>
    <col min="2072" max="2072" width="11.5703125" customWidth="1"/>
    <col min="2073" max="2073" width="11.85546875" customWidth="1"/>
    <col min="2074" max="2074" width="15.7109375" customWidth="1"/>
    <col min="2075" max="2075" width="1.5703125" customWidth="1"/>
    <col min="2076" max="2076" width="10.5703125" customWidth="1"/>
    <col min="2077" max="2077" width="20.7109375" customWidth="1"/>
    <col min="2078" max="2078" width="2" customWidth="1"/>
    <col min="2079" max="2079" width="10.140625" customWidth="1"/>
    <col min="2080" max="2080" width="13.7109375" customWidth="1"/>
    <col min="2081" max="2081" width="16.5703125" customWidth="1"/>
    <col min="2082" max="2082" width="16" customWidth="1"/>
    <col min="2083" max="2292" width="9.42578125" customWidth="1"/>
    <col min="2293" max="2293" width="7.140625" customWidth="1"/>
    <col min="2294" max="2294" width="35.28515625" customWidth="1"/>
    <col min="2295" max="2295" width="6.7109375" customWidth="1"/>
    <col min="2296" max="2296" width="5.7109375" customWidth="1"/>
    <col min="2297" max="2297" width="5.85546875" customWidth="1"/>
    <col min="2298" max="2298" width="7.85546875" customWidth="1"/>
    <col min="2305" max="2305" width="7.140625" customWidth="1"/>
    <col min="2306" max="2306" width="39.42578125" customWidth="1"/>
    <col min="2307" max="2307" width="6.7109375" customWidth="1"/>
    <col min="2308" max="2308" width="5.7109375" customWidth="1"/>
    <col min="2309" max="2309" width="5.85546875" customWidth="1"/>
    <col min="2310" max="2310" width="7.85546875" customWidth="1"/>
    <col min="2311" max="2311" width="14.28515625" customWidth="1"/>
    <col min="2312" max="2312" width="14" customWidth="1"/>
    <col min="2313" max="2327" width="0" hidden="1" customWidth="1"/>
    <col min="2328" max="2328" width="11.5703125" customWidth="1"/>
    <col min="2329" max="2329" width="11.85546875" customWidth="1"/>
    <col min="2330" max="2330" width="15.7109375" customWidth="1"/>
    <col min="2331" max="2331" width="1.5703125" customWidth="1"/>
    <col min="2332" max="2332" width="10.5703125" customWidth="1"/>
    <col min="2333" max="2333" width="20.7109375" customWidth="1"/>
    <col min="2334" max="2334" width="2" customWidth="1"/>
    <col min="2335" max="2335" width="10.140625" customWidth="1"/>
    <col min="2336" max="2336" width="13.7109375" customWidth="1"/>
    <col min="2337" max="2337" width="16.5703125" customWidth="1"/>
    <col min="2338" max="2338" width="16" customWidth="1"/>
    <col min="2339" max="2548" width="9.42578125" customWidth="1"/>
    <col min="2549" max="2549" width="7.140625" customWidth="1"/>
    <col min="2550" max="2550" width="35.28515625" customWidth="1"/>
    <col min="2551" max="2551" width="6.7109375" customWidth="1"/>
    <col min="2552" max="2552" width="5.7109375" customWidth="1"/>
    <col min="2553" max="2553" width="5.85546875" customWidth="1"/>
    <col min="2554" max="2554" width="7.85546875" customWidth="1"/>
    <col min="2561" max="2561" width="7.140625" customWidth="1"/>
    <col min="2562" max="2562" width="39.42578125" customWidth="1"/>
    <col min="2563" max="2563" width="6.7109375" customWidth="1"/>
    <col min="2564" max="2564" width="5.7109375" customWidth="1"/>
    <col min="2565" max="2565" width="5.85546875" customWidth="1"/>
    <col min="2566" max="2566" width="7.85546875" customWidth="1"/>
    <col min="2567" max="2567" width="14.28515625" customWidth="1"/>
    <col min="2568" max="2568" width="14" customWidth="1"/>
    <col min="2569" max="2583" width="0" hidden="1" customWidth="1"/>
    <col min="2584" max="2584" width="11.5703125" customWidth="1"/>
    <col min="2585" max="2585" width="11.85546875" customWidth="1"/>
    <col min="2586" max="2586" width="15.7109375" customWidth="1"/>
    <col min="2587" max="2587" width="1.5703125" customWidth="1"/>
    <col min="2588" max="2588" width="10.5703125" customWidth="1"/>
    <col min="2589" max="2589" width="20.7109375" customWidth="1"/>
    <col min="2590" max="2590" width="2" customWidth="1"/>
    <col min="2591" max="2591" width="10.140625" customWidth="1"/>
    <col min="2592" max="2592" width="13.7109375" customWidth="1"/>
    <col min="2593" max="2593" width="16.5703125" customWidth="1"/>
    <col min="2594" max="2594" width="16" customWidth="1"/>
    <col min="2595" max="2804" width="9.42578125" customWidth="1"/>
    <col min="2805" max="2805" width="7.140625" customWidth="1"/>
    <col min="2806" max="2806" width="35.28515625" customWidth="1"/>
    <col min="2807" max="2807" width="6.7109375" customWidth="1"/>
    <col min="2808" max="2808" width="5.7109375" customWidth="1"/>
    <col min="2809" max="2809" width="5.85546875" customWidth="1"/>
    <col min="2810" max="2810" width="7.85546875" customWidth="1"/>
    <col min="2817" max="2817" width="7.140625" customWidth="1"/>
    <col min="2818" max="2818" width="39.42578125" customWidth="1"/>
    <col min="2819" max="2819" width="6.7109375" customWidth="1"/>
    <col min="2820" max="2820" width="5.7109375" customWidth="1"/>
    <col min="2821" max="2821" width="5.85546875" customWidth="1"/>
    <col min="2822" max="2822" width="7.85546875" customWidth="1"/>
    <col min="2823" max="2823" width="14.28515625" customWidth="1"/>
    <col min="2824" max="2824" width="14" customWidth="1"/>
    <col min="2825" max="2839" width="0" hidden="1" customWidth="1"/>
    <col min="2840" max="2840" width="11.5703125" customWidth="1"/>
    <col min="2841" max="2841" width="11.85546875" customWidth="1"/>
    <col min="2842" max="2842" width="15.7109375" customWidth="1"/>
    <col min="2843" max="2843" width="1.5703125" customWidth="1"/>
    <col min="2844" max="2844" width="10.5703125" customWidth="1"/>
    <col min="2845" max="2845" width="20.7109375" customWidth="1"/>
    <col min="2846" max="2846" width="2" customWidth="1"/>
    <col min="2847" max="2847" width="10.140625" customWidth="1"/>
    <col min="2848" max="2848" width="13.7109375" customWidth="1"/>
    <col min="2849" max="2849" width="16.5703125" customWidth="1"/>
    <col min="2850" max="2850" width="16" customWidth="1"/>
    <col min="2851" max="3060" width="9.42578125" customWidth="1"/>
    <col min="3061" max="3061" width="7.140625" customWidth="1"/>
    <col min="3062" max="3062" width="35.28515625" customWidth="1"/>
    <col min="3063" max="3063" width="6.7109375" customWidth="1"/>
    <col min="3064" max="3064" width="5.7109375" customWidth="1"/>
    <col min="3065" max="3065" width="5.85546875" customWidth="1"/>
    <col min="3066" max="3066" width="7.85546875" customWidth="1"/>
    <col min="3073" max="3073" width="7.140625" customWidth="1"/>
    <col min="3074" max="3074" width="39.42578125" customWidth="1"/>
    <col min="3075" max="3075" width="6.7109375" customWidth="1"/>
    <col min="3076" max="3076" width="5.7109375" customWidth="1"/>
    <col min="3077" max="3077" width="5.85546875" customWidth="1"/>
    <col min="3078" max="3078" width="7.85546875" customWidth="1"/>
    <col min="3079" max="3079" width="14.28515625" customWidth="1"/>
    <col min="3080" max="3080" width="14" customWidth="1"/>
    <col min="3081" max="3095" width="0" hidden="1" customWidth="1"/>
    <col min="3096" max="3096" width="11.5703125" customWidth="1"/>
    <col min="3097" max="3097" width="11.85546875" customWidth="1"/>
    <col min="3098" max="3098" width="15.7109375" customWidth="1"/>
    <col min="3099" max="3099" width="1.5703125" customWidth="1"/>
    <col min="3100" max="3100" width="10.5703125" customWidth="1"/>
    <col min="3101" max="3101" width="20.7109375" customWidth="1"/>
    <col min="3102" max="3102" width="2" customWidth="1"/>
    <col min="3103" max="3103" width="10.140625" customWidth="1"/>
    <col min="3104" max="3104" width="13.7109375" customWidth="1"/>
    <col min="3105" max="3105" width="16.5703125" customWidth="1"/>
    <col min="3106" max="3106" width="16" customWidth="1"/>
    <col min="3107" max="3316" width="9.42578125" customWidth="1"/>
    <col min="3317" max="3317" width="7.140625" customWidth="1"/>
    <col min="3318" max="3318" width="35.28515625" customWidth="1"/>
    <col min="3319" max="3319" width="6.7109375" customWidth="1"/>
    <col min="3320" max="3320" width="5.7109375" customWidth="1"/>
    <col min="3321" max="3321" width="5.85546875" customWidth="1"/>
    <col min="3322" max="3322" width="7.85546875" customWidth="1"/>
    <col min="3329" max="3329" width="7.140625" customWidth="1"/>
    <col min="3330" max="3330" width="39.42578125" customWidth="1"/>
    <col min="3331" max="3331" width="6.7109375" customWidth="1"/>
    <col min="3332" max="3332" width="5.7109375" customWidth="1"/>
    <col min="3333" max="3333" width="5.85546875" customWidth="1"/>
    <col min="3334" max="3334" width="7.85546875" customWidth="1"/>
    <col min="3335" max="3335" width="14.28515625" customWidth="1"/>
    <col min="3336" max="3336" width="14" customWidth="1"/>
    <col min="3337" max="3351" width="0" hidden="1" customWidth="1"/>
    <col min="3352" max="3352" width="11.5703125" customWidth="1"/>
    <col min="3353" max="3353" width="11.85546875" customWidth="1"/>
    <col min="3354" max="3354" width="15.7109375" customWidth="1"/>
    <col min="3355" max="3355" width="1.5703125" customWidth="1"/>
    <col min="3356" max="3356" width="10.5703125" customWidth="1"/>
    <col min="3357" max="3357" width="20.7109375" customWidth="1"/>
    <col min="3358" max="3358" width="2" customWidth="1"/>
    <col min="3359" max="3359" width="10.140625" customWidth="1"/>
    <col min="3360" max="3360" width="13.7109375" customWidth="1"/>
    <col min="3361" max="3361" width="16.5703125" customWidth="1"/>
    <col min="3362" max="3362" width="16" customWidth="1"/>
    <col min="3363" max="3572" width="9.42578125" customWidth="1"/>
    <col min="3573" max="3573" width="7.140625" customWidth="1"/>
    <col min="3574" max="3574" width="35.28515625" customWidth="1"/>
    <col min="3575" max="3575" width="6.7109375" customWidth="1"/>
    <col min="3576" max="3576" width="5.7109375" customWidth="1"/>
    <col min="3577" max="3577" width="5.85546875" customWidth="1"/>
    <col min="3578" max="3578" width="7.85546875" customWidth="1"/>
    <col min="3585" max="3585" width="7.140625" customWidth="1"/>
    <col min="3586" max="3586" width="39.42578125" customWidth="1"/>
    <col min="3587" max="3587" width="6.7109375" customWidth="1"/>
    <col min="3588" max="3588" width="5.7109375" customWidth="1"/>
    <col min="3589" max="3589" width="5.85546875" customWidth="1"/>
    <col min="3590" max="3590" width="7.85546875" customWidth="1"/>
    <col min="3591" max="3591" width="14.28515625" customWidth="1"/>
    <col min="3592" max="3592" width="14" customWidth="1"/>
    <col min="3593" max="3607" width="0" hidden="1" customWidth="1"/>
    <col min="3608" max="3608" width="11.5703125" customWidth="1"/>
    <col min="3609" max="3609" width="11.85546875" customWidth="1"/>
    <col min="3610" max="3610" width="15.7109375" customWidth="1"/>
    <col min="3611" max="3611" width="1.5703125" customWidth="1"/>
    <col min="3612" max="3612" width="10.5703125" customWidth="1"/>
    <col min="3613" max="3613" width="20.7109375" customWidth="1"/>
    <col min="3614" max="3614" width="2" customWidth="1"/>
    <col min="3615" max="3615" width="10.140625" customWidth="1"/>
    <col min="3616" max="3616" width="13.7109375" customWidth="1"/>
    <col min="3617" max="3617" width="16.5703125" customWidth="1"/>
    <col min="3618" max="3618" width="16" customWidth="1"/>
    <col min="3619" max="3828" width="9.42578125" customWidth="1"/>
    <col min="3829" max="3829" width="7.140625" customWidth="1"/>
    <col min="3830" max="3830" width="35.28515625" customWidth="1"/>
    <col min="3831" max="3831" width="6.7109375" customWidth="1"/>
    <col min="3832" max="3832" width="5.7109375" customWidth="1"/>
    <col min="3833" max="3833" width="5.85546875" customWidth="1"/>
    <col min="3834" max="3834" width="7.85546875" customWidth="1"/>
    <col min="3841" max="3841" width="7.140625" customWidth="1"/>
    <col min="3842" max="3842" width="39.42578125" customWidth="1"/>
    <col min="3843" max="3843" width="6.7109375" customWidth="1"/>
    <col min="3844" max="3844" width="5.7109375" customWidth="1"/>
    <col min="3845" max="3845" width="5.85546875" customWidth="1"/>
    <col min="3846" max="3846" width="7.85546875" customWidth="1"/>
    <col min="3847" max="3847" width="14.28515625" customWidth="1"/>
    <col min="3848" max="3848" width="14" customWidth="1"/>
    <col min="3849" max="3863" width="0" hidden="1" customWidth="1"/>
    <col min="3864" max="3864" width="11.5703125" customWidth="1"/>
    <col min="3865" max="3865" width="11.85546875" customWidth="1"/>
    <col min="3866" max="3866" width="15.7109375" customWidth="1"/>
    <col min="3867" max="3867" width="1.5703125" customWidth="1"/>
    <col min="3868" max="3868" width="10.5703125" customWidth="1"/>
    <col min="3869" max="3869" width="20.7109375" customWidth="1"/>
    <col min="3870" max="3870" width="2" customWidth="1"/>
    <col min="3871" max="3871" width="10.140625" customWidth="1"/>
    <col min="3872" max="3872" width="13.7109375" customWidth="1"/>
    <col min="3873" max="3873" width="16.5703125" customWidth="1"/>
    <col min="3874" max="3874" width="16" customWidth="1"/>
    <col min="3875" max="4084" width="9.42578125" customWidth="1"/>
    <col min="4085" max="4085" width="7.140625" customWidth="1"/>
    <col min="4086" max="4086" width="35.28515625" customWidth="1"/>
    <col min="4087" max="4087" width="6.7109375" customWidth="1"/>
    <col min="4088" max="4088" width="5.7109375" customWidth="1"/>
    <col min="4089" max="4089" width="5.85546875" customWidth="1"/>
    <col min="4090" max="4090" width="7.85546875" customWidth="1"/>
    <col min="4097" max="4097" width="7.140625" customWidth="1"/>
    <col min="4098" max="4098" width="39.42578125" customWidth="1"/>
    <col min="4099" max="4099" width="6.7109375" customWidth="1"/>
    <col min="4100" max="4100" width="5.7109375" customWidth="1"/>
    <col min="4101" max="4101" width="5.85546875" customWidth="1"/>
    <col min="4102" max="4102" width="7.85546875" customWidth="1"/>
    <col min="4103" max="4103" width="14.28515625" customWidth="1"/>
    <col min="4104" max="4104" width="14" customWidth="1"/>
    <col min="4105" max="4119" width="0" hidden="1" customWidth="1"/>
    <col min="4120" max="4120" width="11.5703125" customWidth="1"/>
    <col min="4121" max="4121" width="11.85546875" customWidth="1"/>
    <col min="4122" max="4122" width="15.7109375" customWidth="1"/>
    <col min="4123" max="4123" width="1.5703125" customWidth="1"/>
    <col min="4124" max="4124" width="10.5703125" customWidth="1"/>
    <col min="4125" max="4125" width="20.7109375" customWidth="1"/>
    <col min="4126" max="4126" width="2" customWidth="1"/>
    <col min="4127" max="4127" width="10.140625" customWidth="1"/>
    <col min="4128" max="4128" width="13.7109375" customWidth="1"/>
    <col min="4129" max="4129" width="16.5703125" customWidth="1"/>
    <col min="4130" max="4130" width="16" customWidth="1"/>
    <col min="4131" max="4340" width="9.42578125" customWidth="1"/>
    <col min="4341" max="4341" width="7.140625" customWidth="1"/>
    <col min="4342" max="4342" width="35.28515625" customWidth="1"/>
    <col min="4343" max="4343" width="6.7109375" customWidth="1"/>
    <col min="4344" max="4344" width="5.7109375" customWidth="1"/>
    <col min="4345" max="4345" width="5.85546875" customWidth="1"/>
    <col min="4346" max="4346" width="7.85546875" customWidth="1"/>
    <col min="4353" max="4353" width="7.140625" customWidth="1"/>
    <col min="4354" max="4354" width="39.42578125" customWidth="1"/>
    <col min="4355" max="4355" width="6.7109375" customWidth="1"/>
    <col min="4356" max="4356" width="5.7109375" customWidth="1"/>
    <col min="4357" max="4357" width="5.85546875" customWidth="1"/>
    <col min="4358" max="4358" width="7.85546875" customWidth="1"/>
    <col min="4359" max="4359" width="14.28515625" customWidth="1"/>
    <col min="4360" max="4360" width="14" customWidth="1"/>
    <col min="4361" max="4375" width="0" hidden="1" customWidth="1"/>
    <col min="4376" max="4376" width="11.5703125" customWidth="1"/>
    <col min="4377" max="4377" width="11.85546875" customWidth="1"/>
    <col min="4378" max="4378" width="15.7109375" customWidth="1"/>
    <col min="4379" max="4379" width="1.5703125" customWidth="1"/>
    <col min="4380" max="4380" width="10.5703125" customWidth="1"/>
    <col min="4381" max="4381" width="20.7109375" customWidth="1"/>
    <col min="4382" max="4382" width="2" customWidth="1"/>
    <col min="4383" max="4383" width="10.140625" customWidth="1"/>
    <col min="4384" max="4384" width="13.7109375" customWidth="1"/>
    <col min="4385" max="4385" width="16.5703125" customWidth="1"/>
    <col min="4386" max="4386" width="16" customWidth="1"/>
    <col min="4387" max="4596" width="9.42578125" customWidth="1"/>
    <col min="4597" max="4597" width="7.140625" customWidth="1"/>
    <col min="4598" max="4598" width="35.28515625" customWidth="1"/>
    <col min="4599" max="4599" width="6.7109375" customWidth="1"/>
    <col min="4600" max="4600" width="5.7109375" customWidth="1"/>
    <col min="4601" max="4601" width="5.85546875" customWidth="1"/>
    <col min="4602" max="4602" width="7.85546875" customWidth="1"/>
    <col min="4609" max="4609" width="7.140625" customWidth="1"/>
    <col min="4610" max="4610" width="39.42578125" customWidth="1"/>
    <col min="4611" max="4611" width="6.7109375" customWidth="1"/>
    <col min="4612" max="4612" width="5.7109375" customWidth="1"/>
    <col min="4613" max="4613" width="5.85546875" customWidth="1"/>
    <col min="4614" max="4614" width="7.85546875" customWidth="1"/>
    <col min="4615" max="4615" width="14.28515625" customWidth="1"/>
    <col min="4616" max="4616" width="14" customWidth="1"/>
    <col min="4617" max="4631" width="0" hidden="1" customWidth="1"/>
    <col min="4632" max="4632" width="11.5703125" customWidth="1"/>
    <col min="4633" max="4633" width="11.85546875" customWidth="1"/>
    <col min="4634" max="4634" width="15.7109375" customWidth="1"/>
    <col min="4635" max="4635" width="1.5703125" customWidth="1"/>
    <col min="4636" max="4636" width="10.5703125" customWidth="1"/>
    <col min="4637" max="4637" width="20.7109375" customWidth="1"/>
    <col min="4638" max="4638" width="2" customWidth="1"/>
    <col min="4639" max="4639" width="10.140625" customWidth="1"/>
    <col min="4640" max="4640" width="13.7109375" customWidth="1"/>
    <col min="4641" max="4641" width="16.5703125" customWidth="1"/>
    <col min="4642" max="4642" width="16" customWidth="1"/>
    <col min="4643" max="4852" width="9.42578125" customWidth="1"/>
    <col min="4853" max="4853" width="7.140625" customWidth="1"/>
    <col min="4854" max="4854" width="35.28515625" customWidth="1"/>
    <col min="4855" max="4855" width="6.7109375" customWidth="1"/>
    <col min="4856" max="4856" width="5.7109375" customWidth="1"/>
    <col min="4857" max="4857" width="5.85546875" customWidth="1"/>
    <col min="4858" max="4858" width="7.85546875" customWidth="1"/>
    <col min="4865" max="4865" width="7.140625" customWidth="1"/>
    <col min="4866" max="4866" width="39.42578125" customWidth="1"/>
    <col min="4867" max="4867" width="6.7109375" customWidth="1"/>
    <col min="4868" max="4868" width="5.7109375" customWidth="1"/>
    <col min="4869" max="4869" width="5.85546875" customWidth="1"/>
    <col min="4870" max="4870" width="7.85546875" customWidth="1"/>
    <col min="4871" max="4871" width="14.28515625" customWidth="1"/>
    <col min="4872" max="4872" width="14" customWidth="1"/>
    <col min="4873" max="4887" width="0" hidden="1" customWidth="1"/>
    <col min="4888" max="4888" width="11.5703125" customWidth="1"/>
    <col min="4889" max="4889" width="11.85546875" customWidth="1"/>
    <col min="4890" max="4890" width="15.7109375" customWidth="1"/>
    <col min="4891" max="4891" width="1.5703125" customWidth="1"/>
    <col min="4892" max="4892" width="10.5703125" customWidth="1"/>
    <col min="4893" max="4893" width="20.7109375" customWidth="1"/>
    <col min="4894" max="4894" width="2" customWidth="1"/>
    <col min="4895" max="4895" width="10.140625" customWidth="1"/>
    <col min="4896" max="4896" width="13.7109375" customWidth="1"/>
    <col min="4897" max="4897" width="16.5703125" customWidth="1"/>
    <col min="4898" max="4898" width="16" customWidth="1"/>
    <col min="4899" max="5108" width="9.42578125" customWidth="1"/>
    <col min="5109" max="5109" width="7.140625" customWidth="1"/>
    <col min="5110" max="5110" width="35.28515625" customWidth="1"/>
    <col min="5111" max="5111" width="6.7109375" customWidth="1"/>
    <col min="5112" max="5112" width="5.7109375" customWidth="1"/>
    <col min="5113" max="5113" width="5.85546875" customWidth="1"/>
    <col min="5114" max="5114" width="7.85546875" customWidth="1"/>
    <col min="5121" max="5121" width="7.140625" customWidth="1"/>
    <col min="5122" max="5122" width="39.42578125" customWidth="1"/>
    <col min="5123" max="5123" width="6.7109375" customWidth="1"/>
    <col min="5124" max="5124" width="5.7109375" customWidth="1"/>
    <col min="5125" max="5125" width="5.85546875" customWidth="1"/>
    <col min="5126" max="5126" width="7.85546875" customWidth="1"/>
    <col min="5127" max="5127" width="14.28515625" customWidth="1"/>
    <col min="5128" max="5128" width="14" customWidth="1"/>
    <col min="5129" max="5143" width="0" hidden="1" customWidth="1"/>
    <col min="5144" max="5144" width="11.5703125" customWidth="1"/>
    <col min="5145" max="5145" width="11.85546875" customWidth="1"/>
    <col min="5146" max="5146" width="15.7109375" customWidth="1"/>
    <col min="5147" max="5147" width="1.5703125" customWidth="1"/>
    <col min="5148" max="5148" width="10.5703125" customWidth="1"/>
    <col min="5149" max="5149" width="20.7109375" customWidth="1"/>
    <col min="5150" max="5150" width="2" customWidth="1"/>
    <col min="5151" max="5151" width="10.140625" customWidth="1"/>
    <col min="5152" max="5152" width="13.7109375" customWidth="1"/>
    <col min="5153" max="5153" width="16.5703125" customWidth="1"/>
    <col min="5154" max="5154" width="16" customWidth="1"/>
    <col min="5155" max="5364" width="9.42578125" customWidth="1"/>
    <col min="5365" max="5365" width="7.140625" customWidth="1"/>
    <col min="5366" max="5366" width="35.28515625" customWidth="1"/>
    <col min="5367" max="5367" width="6.7109375" customWidth="1"/>
    <col min="5368" max="5368" width="5.7109375" customWidth="1"/>
    <col min="5369" max="5369" width="5.85546875" customWidth="1"/>
    <col min="5370" max="5370" width="7.85546875" customWidth="1"/>
    <col min="5377" max="5377" width="7.140625" customWidth="1"/>
    <col min="5378" max="5378" width="39.42578125" customWidth="1"/>
    <col min="5379" max="5379" width="6.7109375" customWidth="1"/>
    <col min="5380" max="5380" width="5.7109375" customWidth="1"/>
    <col min="5381" max="5381" width="5.85546875" customWidth="1"/>
    <col min="5382" max="5382" width="7.85546875" customWidth="1"/>
    <col min="5383" max="5383" width="14.28515625" customWidth="1"/>
    <col min="5384" max="5384" width="14" customWidth="1"/>
    <col min="5385" max="5399" width="0" hidden="1" customWidth="1"/>
    <col min="5400" max="5400" width="11.5703125" customWidth="1"/>
    <col min="5401" max="5401" width="11.85546875" customWidth="1"/>
    <col min="5402" max="5402" width="15.7109375" customWidth="1"/>
    <col min="5403" max="5403" width="1.5703125" customWidth="1"/>
    <col min="5404" max="5404" width="10.5703125" customWidth="1"/>
    <col min="5405" max="5405" width="20.7109375" customWidth="1"/>
    <col min="5406" max="5406" width="2" customWidth="1"/>
    <col min="5407" max="5407" width="10.140625" customWidth="1"/>
    <col min="5408" max="5408" width="13.7109375" customWidth="1"/>
    <col min="5409" max="5409" width="16.5703125" customWidth="1"/>
    <col min="5410" max="5410" width="16" customWidth="1"/>
    <col min="5411" max="5620" width="9.42578125" customWidth="1"/>
    <col min="5621" max="5621" width="7.140625" customWidth="1"/>
    <col min="5622" max="5622" width="35.28515625" customWidth="1"/>
    <col min="5623" max="5623" width="6.7109375" customWidth="1"/>
    <col min="5624" max="5624" width="5.7109375" customWidth="1"/>
    <col min="5625" max="5625" width="5.85546875" customWidth="1"/>
    <col min="5626" max="5626" width="7.85546875" customWidth="1"/>
    <col min="5633" max="5633" width="7.140625" customWidth="1"/>
    <col min="5634" max="5634" width="39.42578125" customWidth="1"/>
    <col min="5635" max="5635" width="6.7109375" customWidth="1"/>
    <col min="5636" max="5636" width="5.7109375" customWidth="1"/>
    <col min="5637" max="5637" width="5.85546875" customWidth="1"/>
    <col min="5638" max="5638" width="7.85546875" customWidth="1"/>
    <col min="5639" max="5639" width="14.28515625" customWidth="1"/>
    <col min="5640" max="5640" width="14" customWidth="1"/>
    <col min="5641" max="5655" width="0" hidden="1" customWidth="1"/>
    <col min="5656" max="5656" width="11.5703125" customWidth="1"/>
    <col min="5657" max="5657" width="11.85546875" customWidth="1"/>
    <col min="5658" max="5658" width="15.7109375" customWidth="1"/>
    <col min="5659" max="5659" width="1.5703125" customWidth="1"/>
    <col min="5660" max="5660" width="10.5703125" customWidth="1"/>
    <col min="5661" max="5661" width="20.7109375" customWidth="1"/>
    <col min="5662" max="5662" width="2" customWidth="1"/>
    <col min="5663" max="5663" width="10.140625" customWidth="1"/>
    <col min="5664" max="5664" width="13.7109375" customWidth="1"/>
    <col min="5665" max="5665" width="16.5703125" customWidth="1"/>
    <col min="5666" max="5666" width="16" customWidth="1"/>
    <col min="5667" max="5876" width="9.42578125" customWidth="1"/>
    <col min="5877" max="5877" width="7.140625" customWidth="1"/>
    <col min="5878" max="5878" width="35.28515625" customWidth="1"/>
    <col min="5879" max="5879" width="6.7109375" customWidth="1"/>
    <col min="5880" max="5880" width="5.7109375" customWidth="1"/>
    <col min="5881" max="5881" width="5.85546875" customWidth="1"/>
    <col min="5882" max="5882" width="7.85546875" customWidth="1"/>
    <col min="5889" max="5889" width="7.140625" customWidth="1"/>
    <col min="5890" max="5890" width="39.42578125" customWidth="1"/>
    <col min="5891" max="5891" width="6.7109375" customWidth="1"/>
    <col min="5892" max="5892" width="5.7109375" customWidth="1"/>
    <col min="5893" max="5893" width="5.85546875" customWidth="1"/>
    <col min="5894" max="5894" width="7.85546875" customWidth="1"/>
    <col min="5895" max="5895" width="14.28515625" customWidth="1"/>
    <col min="5896" max="5896" width="14" customWidth="1"/>
    <col min="5897" max="5911" width="0" hidden="1" customWidth="1"/>
    <col min="5912" max="5912" width="11.5703125" customWidth="1"/>
    <col min="5913" max="5913" width="11.85546875" customWidth="1"/>
    <col min="5914" max="5914" width="15.7109375" customWidth="1"/>
    <col min="5915" max="5915" width="1.5703125" customWidth="1"/>
    <col min="5916" max="5916" width="10.5703125" customWidth="1"/>
    <col min="5917" max="5917" width="20.7109375" customWidth="1"/>
    <col min="5918" max="5918" width="2" customWidth="1"/>
    <col min="5919" max="5919" width="10.140625" customWidth="1"/>
    <col min="5920" max="5920" width="13.7109375" customWidth="1"/>
    <col min="5921" max="5921" width="16.5703125" customWidth="1"/>
    <col min="5922" max="5922" width="16" customWidth="1"/>
    <col min="5923" max="6132" width="9.42578125" customWidth="1"/>
    <col min="6133" max="6133" width="7.140625" customWidth="1"/>
    <col min="6134" max="6134" width="35.28515625" customWidth="1"/>
    <col min="6135" max="6135" width="6.7109375" customWidth="1"/>
    <col min="6136" max="6136" width="5.7109375" customWidth="1"/>
    <col min="6137" max="6137" width="5.85546875" customWidth="1"/>
    <col min="6138" max="6138" width="7.85546875" customWidth="1"/>
    <col min="6145" max="6145" width="7.140625" customWidth="1"/>
    <col min="6146" max="6146" width="39.42578125" customWidth="1"/>
    <col min="6147" max="6147" width="6.7109375" customWidth="1"/>
    <col min="6148" max="6148" width="5.7109375" customWidth="1"/>
    <col min="6149" max="6149" width="5.85546875" customWidth="1"/>
    <col min="6150" max="6150" width="7.85546875" customWidth="1"/>
    <col min="6151" max="6151" width="14.28515625" customWidth="1"/>
    <col min="6152" max="6152" width="14" customWidth="1"/>
    <col min="6153" max="6167" width="0" hidden="1" customWidth="1"/>
    <col min="6168" max="6168" width="11.5703125" customWidth="1"/>
    <col min="6169" max="6169" width="11.85546875" customWidth="1"/>
    <col min="6170" max="6170" width="15.7109375" customWidth="1"/>
    <col min="6171" max="6171" width="1.5703125" customWidth="1"/>
    <col min="6172" max="6172" width="10.5703125" customWidth="1"/>
    <col min="6173" max="6173" width="20.7109375" customWidth="1"/>
    <col min="6174" max="6174" width="2" customWidth="1"/>
    <col min="6175" max="6175" width="10.140625" customWidth="1"/>
    <col min="6176" max="6176" width="13.7109375" customWidth="1"/>
    <col min="6177" max="6177" width="16.5703125" customWidth="1"/>
    <col min="6178" max="6178" width="16" customWidth="1"/>
    <col min="6179" max="6388" width="9.42578125" customWidth="1"/>
    <col min="6389" max="6389" width="7.140625" customWidth="1"/>
    <col min="6390" max="6390" width="35.28515625" customWidth="1"/>
    <col min="6391" max="6391" width="6.7109375" customWidth="1"/>
    <col min="6392" max="6392" width="5.7109375" customWidth="1"/>
    <col min="6393" max="6393" width="5.85546875" customWidth="1"/>
    <col min="6394" max="6394" width="7.85546875" customWidth="1"/>
    <col min="6401" max="6401" width="7.140625" customWidth="1"/>
    <col min="6402" max="6402" width="39.42578125" customWidth="1"/>
    <col min="6403" max="6403" width="6.7109375" customWidth="1"/>
    <col min="6404" max="6404" width="5.7109375" customWidth="1"/>
    <col min="6405" max="6405" width="5.85546875" customWidth="1"/>
    <col min="6406" max="6406" width="7.85546875" customWidth="1"/>
    <col min="6407" max="6407" width="14.28515625" customWidth="1"/>
    <col min="6408" max="6408" width="14" customWidth="1"/>
    <col min="6409" max="6423" width="0" hidden="1" customWidth="1"/>
    <col min="6424" max="6424" width="11.5703125" customWidth="1"/>
    <col min="6425" max="6425" width="11.85546875" customWidth="1"/>
    <col min="6426" max="6426" width="15.7109375" customWidth="1"/>
    <col min="6427" max="6427" width="1.5703125" customWidth="1"/>
    <col min="6428" max="6428" width="10.5703125" customWidth="1"/>
    <col min="6429" max="6429" width="20.7109375" customWidth="1"/>
    <col min="6430" max="6430" width="2" customWidth="1"/>
    <col min="6431" max="6431" width="10.140625" customWidth="1"/>
    <col min="6432" max="6432" width="13.7109375" customWidth="1"/>
    <col min="6433" max="6433" width="16.5703125" customWidth="1"/>
    <col min="6434" max="6434" width="16" customWidth="1"/>
    <col min="6435" max="6644" width="9.42578125" customWidth="1"/>
    <col min="6645" max="6645" width="7.140625" customWidth="1"/>
    <col min="6646" max="6646" width="35.28515625" customWidth="1"/>
    <col min="6647" max="6647" width="6.7109375" customWidth="1"/>
    <col min="6648" max="6648" width="5.7109375" customWidth="1"/>
    <col min="6649" max="6649" width="5.85546875" customWidth="1"/>
    <col min="6650" max="6650" width="7.85546875" customWidth="1"/>
    <col min="6657" max="6657" width="7.140625" customWidth="1"/>
    <col min="6658" max="6658" width="39.42578125" customWidth="1"/>
    <col min="6659" max="6659" width="6.7109375" customWidth="1"/>
    <col min="6660" max="6660" width="5.7109375" customWidth="1"/>
    <col min="6661" max="6661" width="5.85546875" customWidth="1"/>
    <col min="6662" max="6662" width="7.85546875" customWidth="1"/>
    <col min="6663" max="6663" width="14.28515625" customWidth="1"/>
    <col min="6664" max="6664" width="14" customWidth="1"/>
    <col min="6665" max="6679" width="0" hidden="1" customWidth="1"/>
    <col min="6680" max="6680" width="11.5703125" customWidth="1"/>
    <col min="6681" max="6681" width="11.85546875" customWidth="1"/>
    <col min="6682" max="6682" width="15.7109375" customWidth="1"/>
    <col min="6683" max="6683" width="1.5703125" customWidth="1"/>
    <col min="6684" max="6684" width="10.5703125" customWidth="1"/>
    <col min="6685" max="6685" width="20.7109375" customWidth="1"/>
    <col min="6686" max="6686" width="2" customWidth="1"/>
    <col min="6687" max="6687" width="10.140625" customWidth="1"/>
    <col min="6688" max="6688" width="13.7109375" customWidth="1"/>
    <col min="6689" max="6689" width="16.5703125" customWidth="1"/>
    <col min="6690" max="6690" width="16" customWidth="1"/>
    <col min="6691" max="6900" width="9.42578125" customWidth="1"/>
    <col min="6901" max="6901" width="7.140625" customWidth="1"/>
    <col min="6902" max="6902" width="35.28515625" customWidth="1"/>
    <col min="6903" max="6903" width="6.7109375" customWidth="1"/>
    <col min="6904" max="6904" width="5.7109375" customWidth="1"/>
    <col min="6905" max="6905" width="5.85546875" customWidth="1"/>
    <col min="6906" max="6906" width="7.85546875" customWidth="1"/>
    <col min="6913" max="6913" width="7.140625" customWidth="1"/>
    <col min="6914" max="6914" width="39.42578125" customWidth="1"/>
    <col min="6915" max="6915" width="6.7109375" customWidth="1"/>
    <col min="6916" max="6916" width="5.7109375" customWidth="1"/>
    <col min="6917" max="6917" width="5.85546875" customWidth="1"/>
    <col min="6918" max="6918" width="7.85546875" customWidth="1"/>
    <col min="6919" max="6919" width="14.28515625" customWidth="1"/>
    <col min="6920" max="6920" width="14" customWidth="1"/>
    <col min="6921" max="6935" width="0" hidden="1" customWidth="1"/>
    <col min="6936" max="6936" width="11.5703125" customWidth="1"/>
    <col min="6937" max="6937" width="11.85546875" customWidth="1"/>
    <col min="6938" max="6938" width="15.7109375" customWidth="1"/>
    <col min="6939" max="6939" width="1.5703125" customWidth="1"/>
    <col min="6940" max="6940" width="10.5703125" customWidth="1"/>
    <col min="6941" max="6941" width="20.7109375" customWidth="1"/>
    <col min="6942" max="6942" width="2" customWidth="1"/>
    <col min="6943" max="6943" width="10.140625" customWidth="1"/>
    <col min="6944" max="6944" width="13.7109375" customWidth="1"/>
    <col min="6945" max="6945" width="16.5703125" customWidth="1"/>
    <col min="6946" max="6946" width="16" customWidth="1"/>
    <col min="6947" max="7156" width="9.42578125" customWidth="1"/>
    <col min="7157" max="7157" width="7.140625" customWidth="1"/>
    <col min="7158" max="7158" width="35.28515625" customWidth="1"/>
    <col min="7159" max="7159" width="6.7109375" customWidth="1"/>
    <col min="7160" max="7160" width="5.7109375" customWidth="1"/>
    <col min="7161" max="7161" width="5.85546875" customWidth="1"/>
    <col min="7162" max="7162" width="7.85546875" customWidth="1"/>
    <col min="7169" max="7169" width="7.140625" customWidth="1"/>
    <col min="7170" max="7170" width="39.42578125" customWidth="1"/>
    <col min="7171" max="7171" width="6.7109375" customWidth="1"/>
    <col min="7172" max="7172" width="5.7109375" customWidth="1"/>
    <col min="7173" max="7173" width="5.85546875" customWidth="1"/>
    <col min="7174" max="7174" width="7.85546875" customWidth="1"/>
    <col min="7175" max="7175" width="14.28515625" customWidth="1"/>
    <col min="7176" max="7176" width="14" customWidth="1"/>
    <col min="7177" max="7191" width="0" hidden="1" customWidth="1"/>
    <col min="7192" max="7192" width="11.5703125" customWidth="1"/>
    <col min="7193" max="7193" width="11.85546875" customWidth="1"/>
    <col min="7194" max="7194" width="15.7109375" customWidth="1"/>
    <col min="7195" max="7195" width="1.5703125" customWidth="1"/>
    <col min="7196" max="7196" width="10.5703125" customWidth="1"/>
    <col min="7197" max="7197" width="20.7109375" customWidth="1"/>
    <col min="7198" max="7198" width="2" customWidth="1"/>
    <col min="7199" max="7199" width="10.140625" customWidth="1"/>
    <col min="7200" max="7200" width="13.7109375" customWidth="1"/>
    <col min="7201" max="7201" width="16.5703125" customWidth="1"/>
    <col min="7202" max="7202" width="16" customWidth="1"/>
    <col min="7203" max="7412" width="9.42578125" customWidth="1"/>
    <col min="7413" max="7413" width="7.140625" customWidth="1"/>
    <col min="7414" max="7414" width="35.28515625" customWidth="1"/>
    <col min="7415" max="7415" width="6.7109375" customWidth="1"/>
    <col min="7416" max="7416" width="5.7109375" customWidth="1"/>
    <col min="7417" max="7417" width="5.85546875" customWidth="1"/>
    <col min="7418" max="7418" width="7.85546875" customWidth="1"/>
    <col min="7425" max="7425" width="7.140625" customWidth="1"/>
    <col min="7426" max="7426" width="39.42578125" customWidth="1"/>
    <col min="7427" max="7427" width="6.7109375" customWidth="1"/>
    <col min="7428" max="7428" width="5.7109375" customWidth="1"/>
    <col min="7429" max="7429" width="5.85546875" customWidth="1"/>
    <col min="7430" max="7430" width="7.85546875" customWidth="1"/>
    <col min="7431" max="7431" width="14.28515625" customWidth="1"/>
    <col min="7432" max="7432" width="14" customWidth="1"/>
    <col min="7433" max="7447" width="0" hidden="1" customWidth="1"/>
    <col min="7448" max="7448" width="11.5703125" customWidth="1"/>
    <col min="7449" max="7449" width="11.85546875" customWidth="1"/>
    <col min="7450" max="7450" width="15.7109375" customWidth="1"/>
    <col min="7451" max="7451" width="1.5703125" customWidth="1"/>
    <col min="7452" max="7452" width="10.5703125" customWidth="1"/>
    <col min="7453" max="7453" width="20.7109375" customWidth="1"/>
    <col min="7454" max="7454" width="2" customWidth="1"/>
    <col min="7455" max="7455" width="10.140625" customWidth="1"/>
    <col min="7456" max="7456" width="13.7109375" customWidth="1"/>
    <col min="7457" max="7457" width="16.5703125" customWidth="1"/>
    <col min="7458" max="7458" width="16" customWidth="1"/>
    <col min="7459" max="7668" width="9.42578125" customWidth="1"/>
    <col min="7669" max="7669" width="7.140625" customWidth="1"/>
    <col min="7670" max="7670" width="35.28515625" customWidth="1"/>
    <col min="7671" max="7671" width="6.7109375" customWidth="1"/>
    <col min="7672" max="7672" width="5.7109375" customWidth="1"/>
    <col min="7673" max="7673" width="5.85546875" customWidth="1"/>
    <col min="7674" max="7674" width="7.85546875" customWidth="1"/>
    <col min="7681" max="7681" width="7.140625" customWidth="1"/>
    <col min="7682" max="7682" width="39.42578125" customWidth="1"/>
    <col min="7683" max="7683" width="6.7109375" customWidth="1"/>
    <col min="7684" max="7684" width="5.7109375" customWidth="1"/>
    <col min="7685" max="7685" width="5.85546875" customWidth="1"/>
    <col min="7686" max="7686" width="7.85546875" customWidth="1"/>
    <col min="7687" max="7687" width="14.28515625" customWidth="1"/>
    <col min="7688" max="7688" width="14" customWidth="1"/>
    <col min="7689" max="7703" width="0" hidden="1" customWidth="1"/>
    <col min="7704" max="7704" width="11.5703125" customWidth="1"/>
    <col min="7705" max="7705" width="11.85546875" customWidth="1"/>
    <col min="7706" max="7706" width="15.7109375" customWidth="1"/>
    <col min="7707" max="7707" width="1.5703125" customWidth="1"/>
    <col min="7708" max="7708" width="10.5703125" customWidth="1"/>
    <col min="7709" max="7709" width="20.7109375" customWidth="1"/>
    <col min="7710" max="7710" width="2" customWidth="1"/>
    <col min="7711" max="7711" width="10.140625" customWidth="1"/>
    <col min="7712" max="7712" width="13.7109375" customWidth="1"/>
    <col min="7713" max="7713" width="16.5703125" customWidth="1"/>
    <col min="7714" max="7714" width="16" customWidth="1"/>
    <col min="7715" max="7924" width="9.42578125" customWidth="1"/>
    <col min="7925" max="7925" width="7.140625" customWidth="1"/>
    <col min="7926" max="7926" width="35.28515625" customWidth="1"/>
    <col min="7927" max="7927" width="6.7109375" customWidth="1"/>
    <col min="7928" max="7928" width="5.7109375" customWidth="1"/>
    <col min="7929" max="7929" width="5.85546875" customWidth="1"/>
    <col min="7930" max="7930" width="7.85546875" customWidth="1"/>
    <col min="7937" max="7937" width="7.140625" customWidth="1"/>
    <col min="7938" max="7938" width="39.42578125" customWidth="1"/>
    <col min="7939" max="7939" width="6.7109375" customWidth="1"/>
    <col min="7940" max="7940" width="5.7109375" customWidth="1"/>
    <col min="7941" max="7941" width="5.85546875" customWidth="1"/>
    <col min="7942" max="7942" width="7.85546875" customWidth="1"/>
    <col min="7943" max="7943" width="14.28515625" customWidth="1"/>
    <col min="7944" max="7944" width="14" customWidth="1"/>
    <col min="7945" max="7959" width="0" hidden="1" customWidth="1"/>
    <col min="7960" max="7960" width="11.5703125" customWidth="1"/>
    <col min="7961" max="7961" width="11.85546875" customWidth="1"/>
    <col min="7962" max="7962" width="15.7109375" customWidth="1"/>
    <col min="7963" max="7963" width="1.5703125" customWidth="1"/>
    <col min="7964" max="7964" width="10.5703125" customWidth="1"/>
    <col min="7965" max="7965" width="20.7109375" customWidth="1"/>
    <col min="7966" max="7966" width="2" customWidth="1"/>
    <col min="7967" max="7967" width="10.140625" customWidth="1"/>
    <col min="7968" max="7968" width="13.7109375" customWidth="1"/>
    <col min="7969" max="7969" width="16.5703125" customWidth="1"/>
    <col min="7970" max="7970" width="16" customWidth="1"/>
    <col min="7971" max="8180" width="9.42578125" customWidth="1"/>
    <col min="8181" max="8181" width="7.140625" customWidth="1"/>
    <col min="8182" max="8182" width="35.28515625" customWidth="1"/>
    <col min="8183" max="8183" width="6.7109375" customWidth="1"/>
    <col min="8184" max="8184" width="5.7109375" customWidth="1"/>
    <col min="8185" max="8185" width="5.85546875" customWidth="1"/>
    <col min="8186" max="8186" width="7.85546875" customWidth="1"/>
    <col min="8193" max="8193" width="7.140625" customWidth="1"/>
    <col min="8194" max="8194" width="39.42578125" customWidth="1"/>
    <col min="8195" max="8195" width="6.7109375" customWidth="1"/>
    <col min="8196" max="8196" width="5.7109375" customWidth="1"/>
    <col min="8197" max="8197" width="5.85546875" customWidth="1"/>
    <col min="8198" max="8198" width="7.85546875" customWidth="1"/>
    <col min="8199" max="8199" width="14.28515625" customWidth="1"/>
    <col min="8200" max="8200" width="14" customWidth="1"/>
    <col min="8201" max="8215" width="0" hidden="1" customWidth="1"/>
    <col min="8216" max="8216" width="11.5703125" customWidth="1"/>
    <col min="8217" max="8217" width="11.85546875" customWidth="1"/>
    <col min="8218" max="8218" width="15.7109375" customWidth="1"/>
    <col min="8219" max="8219" width="1.5703125" customWidth="1"/>
    <col min="8220" max="8220" width="10.5703125" customWidth="1"/>
    <col min="8221" max="8221" width="20.7109375" customWidth="1"/>
    <col min="8222" max="8222" width="2" customWidth="1"/>
    <col min="8223" max="8223" width="10.140625" customWidth="1"/>
    <col min="8224" max="8224" width="13.7109375" customWidth="1"/>
    <col min="8225" max="8225" width="16.5703125" customWidth="1"/>
    <col min="8226" max="8226" width="16" customWidth="1"/>
    <col min="8227" max="8436" width="9.42578125" customWidth="1"/>
    <col min="8437" max="8437" width="7.140625" customWidth="1"/>
    <col min="8438" max="8438" width="35.28515625" customWidth="1"/>
    <col min="8439" max="8439" width="6.7109375" customWidth="1"/>
    <col min="8440" max="8440" width="5.7109375" customWidth="1"/>
    <col min="8441" max="8441" width="5.85546875" customWidth="1"/>
    <col min="8442" max="8442" width="7.85546875" customWidth="1"/>
    <col min="8449" max="8449" width="7.140625" customWidth="1"/>
    <col min="8450" max="8450" width="39.42578125" customWidth="1"/>
    <col min="8451" max="8451" width="6.7109375" customWidth="1"/>
    <col min="8452" max="8452" width="5.7109375" customWidth="1"/>
    <col min="8453" max="8453" width="5.85546875" customWidth="1"/>
    <col min="8454" max="8454" width="7.85546875" customWidth="1"/>
    <col min="8455" max="8455" width="14.28515625" customWidth="1"/>
    <col min="8456" max="8456" width="14" customWidth="1"/>
    <col min="8457" max="8471" width="0" hidden="1" customWidth="1"/>
    <col min="8472" max="8472" width="11.5703125" customWidth="1"/>
    <col min="8473" max="8473" width="11.85546875" customWidth="1"/>
    <col min="8474" max="8474" width="15.7109375" customWidth="1"/>
    <col min="8475" max="8475" width="1.5703125" customWidth="1"/>
    <col min="8476" max="8476" width="10.5703125" customWidth="1"/>
    <col min="8477" max="8477" width="20.7109375" customWidth="1"/>
    <col min="8478" max="8478" width="2" customWidth="1"/>
    <col min="8479" max="8479" width="10.140625" customWidth="1"/>
    <col min="8480" max="8480" width="13.7109375" customWidth="1"/>
    <col min="8481" max="8481" width="16.5703125" customWidth="1"/>
    <col min="8482" max="8482" width="16" customWidth="1"/>
    <col min="8483" max="8692" width="9.42578125" customWidth="1"/>
    <col min="8693" max="8693" width="7.140625" customWidth="1"/>
    <col min="8694" max="8694" width="35.28515625" customWidth="1"/>
    <col min="8695" max="8695" width="6.7109375" customWidth="1"/>
    <col min="8696" max="8696" width="5.7109375" customWidth="1"/>
    <col min="8697" max="8697" width="5.85546875" customWidth="1"/>
    <col min="8698" max="8698" width="7.85546875" customWidth="1"/>
    <col min="8705" max="8705" width="7.140625" customWidth="1"/>
    <col min="8706" max="8706" width="39.42578125" customWidth="1"/>
    <col min="8707" max="8707" width="6.7109375" customWidth="1"/>
    <col min="8708" max="8708" width="5.7109375" customWidth="1"/>
    <col min="8709" max="8709" width="5.85546875" customWidth="1"/>
    <col min="8710" max="8710" width="7.85546875" customWidth="1"/>
    <col min="8711" max="8711" width="14.28515625" customWidth="1"/>
    <col min="8712" max="8712" width="14" customWidth="1"/>
    <col min="8713" max="8727" width="0" hidden="1" customWidth="1"/>
    <col min="8728" max="8728" width="11.5703125" customWidth="1"/>
    <col min="8729" max="8729" width="11.85546875" customWidth="1"/>
    <col min="8730" max="8730" width="15.7109375" customWidth="1"/>
    <col min="8731" max="8731" width="1.5703125" customWidth="1"/>
    <col min="8732" max="8732" width="10.5703125" customWidth="1"/>
    <col min="8733" max="8733" width="20.7109375" customWidth="1"/>
    <col min="8734" max="8734" width="2" customWidth="1"/>
    <col min="8735" max="8735" width="10.140625" customWidth="1"/>
    <col min="8736" max="8736" width="13.7109375" customWidth="1"/>
    <col min="8737" max="8737" width="16.5703125" customWidth="1"/>
    <col min="8738" max="8738" width="16" customWidth="1"/>
    <col min="8739" max="8948" width="9.42578125" customWidth="1"/>
    <col min="8949" max="8949" width="7.140625" customWidth="1"/>
    <col min="8950" max="8950" width="35.28515625" customWidth="1"/>
    <col min="8951" max="8951" width="6.7109375" customWidth="1"/>
    <col min="8952" max="8952" width="5.7109375" customWidth="1"/>
    <col min="8953" max="8953" width="5.85546875" customWidth="1"/>
    <col min="8954" max="8954" width="7.85546875" customWidth="1"/>
    <col min="8961" max="8961" width="7.140625" customWidth="1"/>
    <col min="8962" max="8962" width="39.42578125" customWidth="1"/>
    <col min="8963" max="8963" width="6.7109375" customWidth="1"/>
    <col min="8964" max="8964" width="5.7109375" customWidth="1"/>
    <col min="8965" max="8965" width="5.85546875" customWidth="1"/>
    <col min="8966" max="8966" width="7.85546875" customWidth="1"/>
    <col min="8967" max="8967" width="14.28515625" customWidth="1"/>
    <col min="8968" max="8968" width="14" customWidth="1"/>
    <col min="8969" max="8983" width="0" hidden="1" customWidth="1"/>
    <col min="8984" max="8984" width="11.5703125" customWidth="1"/>
    <col min="8985" max="8985" width="11.85546875" customWidth="1"/>
    <col min="8986" max="8986" width="15.7109375" customWidth="1"/>
    <col min="8987" max="8987" width="1.5703125" customWidth="1"/>
    <col min="8988" max="8988" width="10.5703125" customWidth="1"/>
    <col min="8989" max="8989" width="20.7109375" customWidth="1"/>
    <col min="8990" max="8990" width="2" customWidth="1"/>
    <col min="8991" max="8991" width="10.140625" customWidth="1"/>
    <col min="8992" max="8992" width="13.7109375" customWidth="1"/>
    <col min="8993" max="8993" width="16.5703125" customWidth="1"/>
    <col min="8994" max="8994" width="16" customWidth="1"/>
    <col min="8995" max="9204" width="9.42578125" customWidth="1"/>
    <col min="9205" max="9205" width="7.140625" customWidth="1"/>
    <col min="9206" max="9206" width="35.28515625" customWidth="1"/>
    <col min="9207" max="9207" width="6.7109375" customWidth="1"/>
    <col min="9208" max="9208" width="5.7109375" customWidth="1"/>
    <col min="9209" max="9209" width="5.85546875" customWidth="1"/>
    <col min="9210" max="9210" width="7.85546875" customWidth="1"/>
    <col min="9217" max="9217" width="7.140625" customWidth="1"/>
    <col min="9218" max="9218" width="39.42578125" customWidth="1"/>
    <col min="9219" max="9219" width="6.7109375" customWidth="1"/>
    <col min="9220" max="9220" width="5.7109375" customWidth="1"/>
    <col min="9221" max="9221" width="5.85546875" customWidth="1"/>
    <col min="9222" max="9222" width="7.85546875" customWidth="1"/>
    <col min="9223" max="9223" width="14.28515625" customWidth="1"/>
    <col min="9224" max="9224" width="14" customWidth="1"/>
    <col min="9225" max="9239" width="0" hidden="1" customWidth="1"/>
    <col min="9240" max="9240" width="11.5703125" customWidth="1"/>
    <col min="9241" max="9241" width="11.85546875" customWidth="1"/>
    <col min="9242" max="9242" width="15.7109375" customWidth="1"/>
    <col min="9243" max="9243" width="1.5703125" customWidth="1"/>
    <col min="9244" max="9244" width="10.5703125" customWidth="1"/>
    <col min="9245" max="9245" width="20.7109375" customWidth="1"/>
    <col min="9246" max="9246" width="2" customWidth="1"/>
    <col min="9247" max="9247" width="10.140625" customWidth="1"/>
    <col min="9248" max="9248" width="13.7109375" customWidth="1"/>
    <col min="9249" max="9249" width="16.5703125" customWidth="1"/>
    <col min="9250" max="9250" width="16" customWidth="1"/>
    <col min="9251" max="9460" width="9.42578125" customWidth="1"/>
    <col min="9461" max="9461" width="7.140625" customWidth="1"/>
    <col min="9462" max="9462" width="35.28515625" customWidth="1"/>
    <col min="9463" max="9463" width="6.7109375" customWidth="1"/>
    <col min="9464" max="9464" width="5.7109375" customWidth="1"/>
    <col min="9465" max="9465" width="5.85546875" customWidth="1"/>
    <col min="9466" max="9466" width="7.85546875" customWidth="1"/>
    <col min="9473" max="9473" width="7.140625" customWidth="1"/>
    <col min="9474" max="9474" width="39.42578125" customWidth="1"/>
    <col min="9475" max="9475" width="6.7109375" customWidth="1"/>
    <col min="9476" max="9476" width="5.7109375" customWidth="1"/>
    <col min="9477" max="9477" width="5.85546875" customWidth="1"/>
    <col min="9478" max="9478" width="7.85546875" customWidth="1"/>
    <col min="9479" max="9479" width="14.28515625" customWidth="1"/>
    <col min="9480" max="9480" width="14" customWidth="1"/>
    <col min="9481" max="9495" width="0" hidden="1" customWidth="1"/>
    <col min="9496" max="9496" width="11.5703125" customWidth="1"/>
    <col min="9497" max="9497" width="11.85546875" customWidth="1"/>
    <col min="9498" max="9498" width="15.7109375" customWidth="1"/>
    <col min="9499" max="9499" width="1.5703125" customWidth="1"/>
    <col min="9500" max="9500" width="10.5703125" customWidth="1"/>
    <col min="9501" max="9501" width="20.7109375" customWidth="1"/>
    <col min="9502" max="9502" width="2" customWidth="1"/>
    <col min="9503" max="9503" width="10.140625" customWidth="1"/>
    <col min="9504" max="9504" width="13.7109375" customWidth="1"/>
    <col min="9505" max="9505" width="16.5703125" customWidth="1"/>
    <col min="9506" max="9506" width="16" customWidth="1"/>
    <col min="9507" max="9716" width="9.42578125" customWidth="1"/>
    <col min="9717" max="9717" width="7.140625" customWidth="1"/>
    <col min="9718" max="9718" width="35.28515625" customWidth="1"/>
    <col min="9719" max="9719" width="6.7109375" customWidth="1"/>
    <col min="9720" max="9720" width="5.7109375" customWidth="1"/>
    <col min="9721" max="9721" width="5.85546875" customWidth="1"/>
    <col min="9722" max="9722" width="7.85546875" customWidth="1"/>
    <col min="9729" max="9729" width="7.140625" customWidth="1"/>
    <col min="9730" max="9730" width="39.42578125" customWidth="1"/>
    <col min="9731" max="9731" width="6.7109375" customWidth="1"/>
    <col min="9732" max="9732" width="5.7109375" customWidth="1"/>
    <col min="9733" max="9733" width="5.85546875" customWidth="1"/>
    <col min="9734" max="9734" width="7.85546875" customWidth="1"/>
    <col min="9735" max="9735" width="14.28515625" customWidth="1"/>
    <col min="9736" max="9736" width="14" customWidth="1"/>
    <col min="9737" max="9751" width="0" hidden="1" customWidth="1"/>
    <col min="9752" max="9752" width="11.5703125" customWidth="1"/>
    <col min="9753" max="9753" width="11.85546875" customWidth="1"/>
    <col min="9754" max="9754" width="15.7109375" customWidth="1"/>
    <col min="9755" max="9755" width="1.5703125" customWidth="1"/>
    <col min="9756" max="9756" width="10.5703125" customWidth="1"/>
    <col min="9757" max="9757" width="20.7109375" customWidth="1"/>
    <col min="9758" max="9758" width="2" customWidth="1"/>
    <col min="9759" max="9759" width="10.140625" customWidth="1"/>
    <col min="9760" max="9760" width="13.7109375" customWidth="1"/>
    <col min="9761" max="9761" width="16.5703125" customWidth="1"/>
    <col min="9762" max="9762" width="16" customWidth="1"/>
    <col min="9763" max="9972" width="9.42578125" customWidth="1"/>
    <col min="9973" max="9973" width="7.140625" customWidth="1"/>
    <col min="9974" max="9974" width="35.28515625" customWidth="1"/>
    <col min="9975" max="9975" width="6.7109375" customWidth="1"/>
    <col min="9976" max="9976" width="5.7109375" customWidth="1"/>
    <col min="9977" max="9977" width="5.85546875" customWidth="1"/>
    <col min="9978" max="9978" width="7.85546875" customWidth="1"/>
    <col min="9985" max="9985" width="7.140625" customWidth="1"/>
    <col min="9986" max="9986" width="39.42578125" customWidth="1"/>
    <col min="9987" max="9987" width="6.7109375" customWidth="1"/>
    <col min="9988" max="9988" width="5.7109375" customWidth="1"/>
    <col min="9989" max="9989" width="5.85546875" customWidth="1"/>
    <col min="9990" max="9990" width="7.85546875" customWidth="1"/>
    <col min="9991" max="9991" width="14.28515625" customWidth="1"/>
    <col min="9992" max="9992" width="14" customWidth="1"/>
    <col min="9993" max="10007" width="0" hidden="1" customWidth="1"/>
    <col min="10008" max="10008" width="11.5703125" customWidth="1"/>
    <col min="10009" max="10009" width="11.85546875" customWidth="1"/>
    <col min="10010" max="10010" width="15.7109375" customWidth="1"/>
    <col min="10011" max="10011" width="1.5703125" customWidth="1"/>
    <col min="10012" max="10012" width="10.5703125" customWidth="1"/>
    <col min="10013" max="10013" width="20.7109375" customWidth="1"/>
    <col min="10014" max="10014" width="2" customWidth="1"/>
    <col min="10015" max="10015" width="10.140625" customWidth="1"/>
    <col min="10016" max="10016" width="13.7109375" customWidth="1"/>
    <col min="10017" max="10017" width="16.5703125" customWidth="1"/>
    <col min="10018" max="10018" width="16" customWidth="1"/>
    <col min="10019" max="10228" width="9.42578125" customWidth="1"/>
    <col min="10229" max="10229" width="7.140625" customWidth="1"/>
    <col min="10230" max="10230" width="35.28515625" customWidth="1"/>
    <col min="10231" max="10231" width="6.7109375" customWidth="1"/>
    <col min="10232" max="10232" width="5.7109375" customWidth="1"/>
    <col min="10233" max="10233" width="5.85546875" customWidth="1"/>
    <col min="10234" max="10234" width="7.85546875" customWidth="1"/>
    <col min="10241" max="10241" width="7.140625" customWidth="1"/>
    <col min="10242" max="10242" width="39.42578125" customWidth="1"/>
    <col min="10243" max="10243" width="6.7109375" customWidth="1"/>
    <col min="10244" max="10244" width="5.7109375" customWidth="1"/>
    <col min="10245" max="10245" width="5.85546875" customWidth="1"/>
    <col min="10246" max="10246" width="7.85546875" customWidth="1"/>
    <col min="10247" max="10247" width="14.28515625" customWidth="1"/>
    <col min="10248" max="10248" width="14" customWidth="1"/>
    <col min="10249" max="10263" width="0" hidden="1" customWidth="1"/>
    <col min="10264" max="10264" width="11.5703125" customWidth="1"/>
    <col min="10265" max="10265" width="11.85546875" customWidth="1"/>
    <col min="10266" max="10266" width="15.7109375" customWidth="1"/>
    <col min="10267" max="10267" width="1.5703125" customWidth="1"/>
    <col min="10268" max="10268" width="10.5703125" customWidth="1"/>
    <col min="10269" max="10269" width="20.7109375" customWidth="1"/>
    <col min="10270" max="10270" width="2" customWidth="1"/>
    <col min="10271" max="10271" width="10.140625" customWidth="1"/>
    <col min="10272" max="10272" width="13.7109375" customWidth="1"/>
    <col min="10273" max="10273" width="16.5703125" customWidth="1"/>
    <col min="10274" max="10274" width="16" customWidth="1"/>
    <col min="10275" max="10484" width="9.42578125" customWidth="1"/>
    <col min="10485" max="10485" width="7.140625" customWidth="1"/>
    <col min="10486" max="10486" width="35.28515625" customWidth="1"/>
    <col min="10487" max="10487" width="6.7109375" customWidth="1"/>
    <col min="10488" max="10488" width="5.7109375" customWidth="1"/>
    <col min="10489" max="10489" width="5.85546875" customWidth="1"/>
    <col min="10490" max="10490" width="7.85546875" customWidth="1"/>
    <col min="10497" max="10497" width="7.140625" customWidth="1"/>
    <col min="10498" max="10498" width="39.42578125" customWidth="1"/>
    <col min="10499" max="10499" width="6.7109375" customWidth="1"/>
    <col min="10500" max="10500" width="5.7109375" customWidth="1"/>
    <col min="10501" max="10501" width="5.85546875" customWidth="1"/>
    <col min="10502" max="10502" width="7.85546875" customWidth="1"/>
    <col min="10503" max="10503" width="14.28515625" customWidth="1"/>
    <col min="10504" max="10504" width="14" customWidth="1"/>
    <col min="10505" max="10519" width="0" hidden="1" customWidth="1"/>
    <col min="10520" max="10520" width="11.5703125" customWidth="1"/>
    <col min="10521" max="10521" width="11.85546875" customWidth="1"/>
    <col min="10522" max="10522" width="15.7109375" customWidth="1"/>
    <col min="10523" max="10523" width="1.5703125" customWidth="1"/>
    <col min="10524" max="10524" width="10.5703125" customWidth="1"/>
    <col min="10525" max="10525" width="20.7109375" customWidth="1"/>
    <col min="10526" max="10526" width="2" customWidth="1"/>
    <col min="10527" max="10527" width="10.140625" customWidth="1"/>
    <col min="10528" max="10528" width="13.7109375" customWidth="1"/>
    <col min="10529" max="10529" width="16.5703125" customWidth="1"/>
    <col min="10530" max="10530" width="16" customWidth="1"/>
    <col min="10531" max="10740" width="9.42578125" customWidth="1"/>
    <col min="10741" max="10741" width="7.140625" customWidth="1"/>
    <col min="10742" max="10742" width="35.28515625" customWidth="1"/>
    <col min="10743" max="10743" width="6.7109375" customWidth="1"/>
    <col min="10744" max="10744" width="5.7109375" customWidth="1"/>
    <col min="10745" max="10745" width="5.85546875" customWidth="1"/>
    <col min="10746" max="10746" width="7.85546875" customWidth="1"/>
    <col min="10753" max="10753" width="7.140625" customWidth="1"/>
    <col min="10754" max="10754" width="39.42578125" customWidth="1"/>
    <col min="10755" max="10755" width="6.7109375" customWidth="1"/>
    <col min="10756" max="10756" width="5.7109375" customWidth="1"/>
    <col min="10757" max="10757" width="5.85546875" customWidth="1"/>
    <col min="10758" max="10758" width="7.85546875" customWidth="1"/>
    <col min="10759" max="10759" width="14.28515625" customWidth="1"/>
    <col min="10760" max="10760" width="14" customWidth="1"/>
    <col min="10761" max="10775" width="0" hidden="1" customWidth="1"/>
    <col min="10776" max="10776" width="11.5703125" customWidth="1"/>
    <col min="10777" max="10777" width="11.85546875" customWidth="1"/>
    <col min="10778" max="10778" width="15.7109375" customWidth="1"/>
    <col min="10779" max="10779" width="1.5703125" customWidth="1"/>
    <col min="10780" max="10780" width="10.5703125" customWidth="1"/>
    <col min="10781" max="10781" width="20.7109375" customWidth="1"/>
    <col min="10782" max="10782" width="2" customWidth="1"/>
    <col min="10783" max="10783" width="10.140625" customWidth="1"/>
    <col min="10784" max="10784" width="13.7109375" customWidth="1"/>
    <col min="10785" max="10785" width="16.5703125" customWidth="1"/>
    <col min="10786" max="10786" width="16" customWidth="1"/>
    <col min="10787" max="10996" width="9.42578125" customWidth="1"/>
    <col min="10997" max="10997" width="7.140625" customWidth="1"/>
    <col min="10998" max="10998" width="35.28515625" customWidth="1"/>
    <col min="10999" max="10999" width="6.7109375" customWidth="1"/>
    <col min="11000" max="11000" width="5.7109375" customWidth="1"/>
    <col min="11001" max="11001" width="5.85546875" customWidth="1"/>
    <col min="11002" max="11002" width="7.85546875" customWidth="1"/>
    <col min="11009" max="11009" width="7.140625" customWidth="1"/>
    <col min="11010" max="11010" width="39.42578125" customWidth="1"/>
    <col min="11011" max="11011" width="6.7109375" customWidth="1"/>
    <col min="11012" max="11012" width="5.7109375" customWidth="1"/>
    <col min="11013" max="11013" width="5.85546875" customWidth="1"/>
    <col min="11014" max="11014" width="7.85546875" customWidth="1"/>
    <col min="11015" max="11015" width="14.28515625" customWidth="1"/>
    <col min="11016" max="11016" width="14" customWidth="1"/>
    <col min="11017" max="11031" width="0" hidden="1" customWidth="1"/>
    <col min="11032" max="11032" width="11.5703125" customWidth="1"/>
    <col min="11033" max="11033" width="11.85546875" customWidth="1"/>
    <col min="11034" max="11034" width="15.7109375" customWidth="1"/>
    <col min="11035" max="11035" width="1.5703125" customWidth="1"/>
    <col min="11036" max="11036" width="10.5703125" customWidth="1"/>
    <col min="11037" max="11037" width="20.7109375" customWidth="1"/>
    <col min="11038" max="11038" width="2" customWidth="1"/>
    <col min="11039" max="11039" width="10.140625" customWidth="1"/>
    <col min="11040" max="11040" width="13.7109375" customWidth="1"/>
    <col min="11041" max="11041" width="16.5703125" customWidth="1"/>
    <col min="11042" max="11042" width="16" customWidth="1"/>
    <col min="11043" max="11252" width="9.42578125" customWidth="1"/>
    <col min="11253" max="11253" width="7.140625" customWidth="1"/>
    <col min="11254" max="11254" width="35.28515625" customWidth="1"/>
    <col min="11255" max="11255" width="6.7109375" customWidth="1"/>
    <col min="11256" max="11256" width="5.7109375" customWidth="1"/>
    <col min="11257" max="11257" width="5.85546875" customWidth="1"/>
    <col min="11258" max="11258" width="7.85546875" customWidth="1"/>
    <col min="11265" max="11265" width="7.140625" customWidth="1"/>
    <col min="11266" max="11266" width="39.42578125" customWidth="1"/>
    <col min="11267" max="11267" width="6.7109375" customWidth="1"/>
    <col min="11268" max="11268" width="5.7109375" customWidth="1"/>
    <col min="11269" max="11269" width="5.85546875" customWidth="1"/>
    <col min="11270" max="11270" width="7.85546875" customWidth="1"/>
    <col min="11271" max="11271" width="14.28515625" customWidth="1"/>
    <col min="11272" max="11272" width="14" customWidth="1"/>
    <col min="11273" max="11287" width="0" hidden="1" customWidth="1"/>
    <col min="11288" max="11288" width="11.5703125" customWidth="1"/>
    <col min="11289" max="11289" width="11.85546875" customWidth="1"/>
    <col min="11290" max="11290" width="15.7109375" customWidth="1"/>
    <col min="11291" max="11291" width="1.5703125" customWidth="1"/>
    <col min="11292" max="11292" width="10.5703125" customWidth="1"/>
    <col min="11293" max="11293" width="20.7109375" customWidth="1"/>
    <col min="11294" max="11294" width="2" customWidth="1"/>
    <col min="11295" max="11295" width="10.140625" customWidth="1"/>
    <col min="11296" max="11296" width="13.7109375" customWidth="1"/>
    <col min="11297" max="11297" width="16.5703125" customWidth="1"/>
    <col min="11298" max="11298" width="16" customWidth="1"/>
    <col min="11299" max="11508" width="9.42578125" customWidth="1"/>
    <col min="11509" max="11509" width="7.140625" customWidth="1"/>
    <col min="11510" max="11510" width="35.28515625" customWidth="1"/>
    <col min="11511" max="11511" width="6.7109375" customWidth="1"/>
    <col min="11512" max="11512" width="5.7109375" customWidth="1"/>
    <col min="11513" max="11513" width="5.85546875" customWidth="1"/>
    <col min="11514" max="11514" width="7.85546875" customWidth="1"/>
    <col min="11521" max="11521" width="7.140625" customWidth="1"/>
    <col min="11522" max="11522" width="39.42578125" customWidth="1"/>
    <col min="11523" max="11523" width="6.7109375" customWidth="1"/>
    <col min="11524" max="11524" width="5.7109375" customWidth="1"/>
    <col min="11525" max="11525" width="5.85546875" customWidth="1"/>
    <col min="11526" max="11526" width="7.85546875" customWidth="1"/>
    <col min="11527" max="11527" width="14.28515625" customWidth="1"/>
    <col min="11528" max="11528" width="14" customWidth="1"/>
    <col min="11529" max="11543" width="0" hidden="1" customWidth="1"/>
    <col min="11544" max="11544" width="11.5703125" customWidth="1"/>
    <col min="11545" max="11545" width="11.85546875" customWidth="1"/>
    <col min="11546" max="11546" width="15.7109375" customWidth="1"/>
    <col min="11547" max="11547" width="1.5703125" customWidth="1"/>
    <col min="11548" max="11548" width="10.5703125" customWidth="1"/>
    <col min="11549" max="11549" width="20.7109375" customWidth="1"/>
    <col min="11550" max="11550" width="2" customWidth="1"/>
    <col min="11551" max="11551" width="10.140625" customWidth="1"/>
    <col min="11552" max="11552" width="13.7109375" customWidth="1"/>
    <col min="11553" max="11553" width="16.5703125" customWidth="1"/>
    <col min="11554" max="11554" width="16" customWidth="1"/>
    <col min="11555" max="11764" width="9.42578125" customWidth="1"/>
    <col min="11765" max="11765" width="7.140625" customWidth="1"/>
    <col min="11766" max="11766" width="35.28515625" customWidth="1"/>
    <col min="11767" max="11767" width="6.7109375" customWidth="1"/>
    <col min="11768" max="11768" width="5.7109375" customWidth="1"/>
    <col min="11769" max="11769" width="5.85546875" customWidth="1"/>
    <col min="11770" max="11770" width="7.85546875" customWidth="1"/>
    <col min="11777" max="11777" width="7.140625" customWidth="1"/>
    <col min="11778" max="11778" width="39.42578125" customWidth="1"/>
    <col min="11779" max="11779" width="6.7109375" customWidth="1"/>
    <col min="11780" max="11780" width="5.7109375" customWidth="1"/>
    <col min="11781" max="11781" width="5.85546875" customWidth="1"/>
    <col min="11782" max="11782" width="7.85546875" customWidth="1"/>
    <col min="11783" max="11783" width="14.28515625" customWidth="1"/>
    <col min="11784" max="11784" width="14" customWidth="1"/>
    <col min="11785" max="11799" width="0" hidden="1" customWidth="1"/>
    <col min="11800" max="11800" width="11.5703125" customWidth="1"/>
    <col min="11801" max="11801" width="11.85546875" customWidth="1"/>
    <col min="11802" max="11802" width="15.7109375" customWidth="1"/>
    <col min="11803" max="11803" width="1.5703125" customWidth="1"/>
    <col min="11804" max="11804" width="10.5703125" customWidth="1"/>
    <col min="11805" max="11805" width="20.7109375" customWidth="1"/>
    <col min="11806" max="11806" width="2" customWidth="1"/>
    <col min="11807" max="11807" width="10.140625" customWidth="1"/>
    <col min="11808" max="11808" width="13.7109375" customWidth="1"/>
    <col min="11809" max="11809" width="16.5703125" customWidth="1"/>
    <col min="11810" max="11810" width="16" customWidth="1"/>
    <col min="11811" max="12020" width="9.42578125" customWidth="1"/>
    <col min="12021" max="12021" width="7.140625" customWidth="1"/>
    <col min="12022" max="12022" width="35.28515625" customWidth="1"/>
    <col min="12023" max="12023" width="6.7109375" customWidth="1"/>
    <col min="12024" max="12024" width="5.7109375" customWidth="1"/>
    <col min="12025" max="12025" width="5.85546875" customWidth="1"/>
    <col min="12026" max="12026" width="7.85546875" customWidth="1"/>
    <col min="12033" max="12033" width="7.140625" customWidth="1"/>
    <col min="12034" max="12034" width="39.42578125" customWidth="1"/>
    <col min="12035" max="12035" width="6.7109375" customWidth="1"/>
    <col min="12036" max="12036" width="5.7109375" customWidth="1"/>
    <col min="12037" max="12037" width="5.85546875" customWidth="1"/>
    <col min="12038" max="12038" width="7.85546875" customWidth="1"/>
    <col min="12039" max="12039" width="14.28515625" customWidth="1"/>
    <col min="12040" max="12040" width="14" customWidth="1"/>
    <col min="12041" max="12055" width="0" hidden="1" customWidth="1"/>
    <col min="12056" max="12056" width="11.5703125" customWidth="1"/>
    <col min="12057" max="12057" width="11.85546875" customWidth="1"/>
    <col min="12058" max="12058" width="15.7109375" customWidth="1"/>
    <col min="12059" max="12059" width="1.5703125" customWidth="1"/>
    <col min="12060" max="12060" width="10.5703125" customWidth="1"/>
    <col min="12061" max="12061" width="20.7109375" customWidth="1"/>
    <col min="12062" max="12062" width="2" customWidth="1"/>
    <col min="12063" max="12063" width="10.140625" customWidth="1"/>
    <col min="12064" max="12064" width="13.7109375" customWidth="1"/>
    <col min="12065" max="12065" width="16.5703125" customWidth="1"/>
    <col min="12066" max="12066" width="16" customWidth="1"/>
    <col min="12067" max="12276" width="9.42578125" customWidth="1"/>
    <col min="12277" max="12277" width="7.140625" customWidth="1"/>
    <col min="12278" max="12278" width="35.28515625" customWidth="1"/>
    <col min="12279" max="12279" width="6.7109375" customWidth="1"/>
    <col min="12280" max="12280" width="5.7109375" customWidth="1"/>
    <col min="12281" max="12281" width="5.85546875" customWidth="1"/>
    <col min="12282" max="12282" width="7.85546875" customWidth="1"/>
    <col min="12289" max="12289" width="7.140625" customWidth="1"/>
    <col min="12290" max="12290" width="39.42578125" customWidth="1"/>
    <col min="12291" max="12291" width="6.7109375" customWidth="1"/>
    <col min="12292" max="12292" width="5.7109375" customWidth="1"/>
    <col min="12293" max="12293" width="5.85546875" customWidth="1"/>
    <col min="12294" max="12294" width="7.85546875" customWidth="1"/>
    <col min="12295" max="12295" width="14.28515625" customWidth="1"/>
    <col min="12296" max="12296" width="14" customWidth="1"/>
    <col min="12297" max="12311" width="0" hidden="1" customWidth="1"/>
    <col min="12312" max="12312" width="11.5703125" customWidth="1"/>
    <col min="12313" max="12313" width="11.85546875" customWidth="1"/>
    <col min="12314" max="12314" width="15.7109375" customWidth="1"/>
    <col min="12315" max="12315" width="1.5703125" customWidth="1"/>
    <col min="12316" max="12316" width="10.5703125" customWidth="1"/>
    <col min="12317" max="12317" width="20.7109375" customWidth="1"/>
    <col min="12318" max="12318" width="2" customWidth="1"/>
    <col min="12319" max="12319" width="10.140625" customWidth="1"/>
    <col min="12320" max="12320" width="13.7109375" customWidth="1"/>
    <col min="12321" max="12321" width="16.5703125" customWidth="1"/>
    <col min="12322" max="12322" width="16" customWidth="1"/>
    <col min="12323" max="12532" width="9.42578125" customWidth="1"/>
    <col min="12533" max="12533" width="7.140625" customWidth="1"/>
    <col min="12534" max="12534" width="35.28515625" customWidth="1"/>
    <col min="12535" max="12535" width="6.7109375" customWidth="1"/>
    <col min="12536" max="12536" width="5.7109375" customWidth="1"/>
    <col min="12537" max="12537" width="5.85546875" customWidth="1"/>
    <col min="12538" max="12538" width="7.85546875" customWidth="1"/>
    <col min="12545" max="12545" width="7.140625" customWidth="1"/>
    <col min="12546" max="12546" width="39.42578125" customWidth="1"/>
    <col min="12547" max="12547" width="6.7109375" customWidth="1"/>
    <col min="12548" max="12548" width="5.7109375" customWidth="1"/>
    <col min="12549" max="12549" width="5.85546875" customWidth="1"/>
    <col min="12550" max="12550" width="7.85546875" customWidth="1"/>
    <col min="12551" max="12551" width="14.28515625" customWidth="1"/>
    <col min="12552" max="12552" width="14" customWidth="1"/>
    <col min="12553" max="12567" width="0" hidden="1" customWidth="1"/>
    <col min="12568" max="12568" width="11.5703125" customWidth="1"/>
    <col min="12569" max="12569" width="11.85546875" customWidth="1"/>
    <col min="12570" max="12570" width="15.7109375" customWidth="1"/>
    <col min="12571" max="12571" width="1.5703125" customWidth="1"/>
    <col min="12572" max="12572" width="10.5703125" customWidth="1"/>
    <col min="12573" max="12573" width="20.7109375" customWidth="1"/>
    <col min="12574" max="12574" width="2" customWidth="1"/>
    <col min="12575" max="12575" width="10.140625" customWidth="1"/>
    <col min="12576" max="12576" width="13.7109375" customWidth="1"/>
    <col min="12577" max="12577" width="16.5703125" customWidth="1"/>
    <col min="12578" max="12578" width="16" customWidth="1"/>
    <col min="12579" max="12788" width="9.42578125" customWidth="1"/>
    <col min="12789" max="12789" width="7.140625" customWidth="1"/>
    <col min="12790" max="12790" width="35.28515625" customWidth="1"/>
    <col min="12791" max="12791" width="6.7109375" customWidth="1"/>
    <col min="12792" max="12792" width="5.7109375" customWidth="1"/>
    <col min="12793" max="12793" width="5.85546875" customWidth="1"/>
    <col min="12794" max="12794" width="7.85546875" customWidth="1"/>
    <col min="12801" max="12801" width="7.140625" customWidth="1"/>
    <col min="12802" max="12802" width="39.42578125" customWidth="1"/>
    <col min="12803" max="12803" width="6.7109375" customWidth="1"/>
    <col min="12804" max="12804" width="5.7109375" customWidth="1"/>
    <col min="12805" max="12805" width="5.85546875" customWidth="1"/>
    <col min="12806" max="12806" width="7.85546875" customWidth="1"/>
    <col min="12807" max="12807" width="14.28515625" customWidth="1"/>
    <col min="12808" max="12808" width="14" customWidth="1"/>
    <col min="12809" max="12823" width="0" hidden="1" customWidth="1"/>
    <col min="12824" max="12824" width="11.5703125" customWidth="1"/>
    <col min="12825" max="12825" width="11.85546875" customWidth="1"/>
    <col min="12826" max="12826" width="15.7109375" customWidth="1"/>
    <col min="12827" max="12827" width="1.5703125" customWidth="1"/>
    <col min="12828" max="12828" width="10.5703125" customWidth="1"/>
    <col min="12829" max="12829" width="20.7109375" customWidth="1"/>
    <col min="12830" max="12830" width="2" customWidth="1"/>
    <col min="12831" max="12831" width="10.140625" customWidth="1"/>
    <col min="12832" max="12832" width="13.7109375" customWidth="1"/>
    <col min="12833" max="12833" width="16.5703125" customWidth="1"/>
    <col min="12834" max="12834" width="16" customWidth="1"/>
    <col min="12835" max="13044" width="9.42578125" customWidth="1"/>
    <col min="13045" max="13045" width="7.140625" customWidth="1"/>
    <col min="13046" max="13046" width="35.28515625" customWidth="1"/>
    <col min="13047" max="13047" width="6.7109375" customWidth="1"/>
    <col min="13048" max="13048" width="5.7109375" customWidth="1"/>
    <col min="13049" max="13049" width="5.85546875" customWidth="1"/>
    <col min="13050" max="13050" width="7.85546875" customWidth="1"/>
    <col min="13057" max="13057" width="7.140625" customWidth="1"/>
    <col min="13058" max="13058" width="39.42578125" customWidth="1"/>
    <col min="13059" max="13059" width="6.7109375" customWidth="1"/>
    <col min="13060" max="13060" width="5.7109375" customWidth="1"/>
    <col min="13061" max="13061" width="5.85546875" customWidth="1"/>
    <col min="13062" max="13062" width="7.85546875" customWidth="1"/>
    <col min="13063" max="13063" width="14.28515625" customWidth="1"/>
    <col min="13064" max="13064" width="14" customWidth="1"/>
    <col min="13065" max="13079" width="0" hidden="1" customWidth="1"/>
    <col min="13080" max="13080" width="11.5703125" customWidth="1"/>
    <col min="13081" max="13081" width="11.85546875" customWidth="1"/>
    <col min="13082" max="13082" width="15.7109375" customWidth="1"/>
    <col min="13083" max="13083" width="1.5703125" customWidth="1"/>
    <col min="13084" max="13084" width="10.5703125" customWidth="1"/>
    <col min="13085" max="13085" width="20.7109375" customWidth="1"/>
    <col min="13086" max="13086" width="2" customWidth="1"/>
    <col min="13087" max="13087" width="10.140625" customWidth="1"/>
    <col min="13088" max="13088" width="13.7109375" customWidth="1"/>
    <col min="13089" max="13089" width="16.5703125" customWidth="1"/>
    <col min="13090" max="13090" width="16" customWidth="1"/>
    <col min="13091" max="13300" width="9.42578125" customWidth="1"/>
    <col min="13301" max="13301" width="7.140625" customWidth="1"/>
    <col min="13302" max="13302" width="35.28515625" customWidth="1"/>
    <col min="13303" max="13303" width="6.7109375" customWidth="1"/>
    <col min="13304" max="13304" width="5.7109375" customWidth="1"/>
    <col min="13305" max="13305" width="5.85546875" customWidth="1"/>
    <col min="13306" max="13306" width="7.85546875" customWidth="1"/>
    <col min="13313" max="13313" width="7.140625" customWidth="1"/>
    <col min="13314" max="13314" width="39.42578125" customWidth="1"/>
    <col min="13315" max="13315" width="6.7109375" customWidth="1"/>
    <col min="13316" max="13316" width="5.7109375" customWidth="1"/>
    <col min="13317" max="13317" width="5.85546875" customWidth="1"/>
    <col min="13318" max="13318" width="7.85546875" customWidth="1"/>
    <col min="13319" max="13319" width="14.28515625" customWidth="1"/>
    <col min="13320" max="13320" width="14" customWidth="1"/>
    <col min="13321" max="13335" width="0" hidden="1" customWidth="1"/>
    <col min="13336" max="13336" width="11.5703125" customWidth="1"/>
    <col min="13337" max="13337" width="11.85546875" customWidth="1"/>
    <col min="13338" max="13338" width="15.7109375" customWidth="1"/>
    <col min="13339" max="13339" width="1.5703125" customWidth="1"/>
    <col min="13340" max="13340" width="10.5703125" customWidth="1"/>
    <col min="13341" max="13341" width="20.7109375" customWidth="1"/>
    <col min="13342" max="13342" width="2" customWidth="1"/>
    <col min="13343" max="13343" width="10.140625" customWidth="1"/>
    <col min="13344" max="13344" width="13.7109375" customWidth="1"/>
    <col min="13345" max="13345" width="16.5703125" customWidth="1"/>
    <col min="13346" max="13346" width="16" customWidth="1"/>
    <col min="13347" max="13556" width="9.42578125" customWidth="1"/>
    <col min="13557" max="13557" width="7.140625" customWidth="1"/>
    <col min="13558" max="13558" width="35.28515625" customWidth="1"/>
    <col min="13559" max="13559" width="6.7109375" customWidth="1"/>
    <col min="13560" max="13560" width="5.7109375" customWidth="1"/>
    <col min="13561" max="13561" width="5.85546875" customWidth="1"/>
    <col min="13562" max="13562" width="7.85546875" customWidth="1"/>
    <col min="13569" max="13569" width="7.140625" customWidth="1"/>
    <col min="13570" max="13570" width="39.42578125" customWidth="1"/>
    <col min="13571" max="13571" width="6.7109375" customWidth="1"/>
    <col min="13572" max="13572" width="5.7109375" customWidth="1"/>
    <col min="13573" max="13573" width="5.85546875" customWidth="1"/>
    <col min="13574" max="13574" width="7.85546875" customWidth="1"/>
    <col min="13575" max="13575" width="14.28515625" customWidth="1"/>
    <col min="13576" max="13576" width="14" customWidth="1"/>
    <col min="13577" max="13591" width="0" hidden="1" customWidth="1"/>
    <col min="13592" max="13592" width="11.5703125" customWidth="1"/>
    <col min="13593" max="13593" width="11.85546875" customWidth="1"/>
    <col min="13594" max="13594" width="15.7109375" customWidth="1"/>
    <col min="13595" max="13595" width="1.5703125" customWidth="1"/>
    <col min="13596" max="13596" width="10.5703125" customWidth="1"/>
    <col min="13597" max="13597" width="20.7109375" customWidth="1"/>
    <col min="13598" max="13598" width="2" customWidth="1"/>
    <col min="13599" max="13599" width="10.140625" customWidth="1"/>
    <col min="13600" max="13600" width="13.7109375" customWidth="1"/>
    <col min="13601" max="13601" width="16.5703125" customWidth="1"/>
    <col min="13602" max="13602" width="16" customWidth="1"/>
    <col min="13603" max="13812" width="9.42578125" customWidth="1"/>
    <col min="13813" max="13813" width="7.140625" customWidth="1"/>
    <col min="13814" max="13814" width="35.28515625" customWidth="1"/>
    <col min="13815" max="13815" width="6.7109375" customWidth="1"/>
    <col min="13816" max="13816" width="5.7109375" customWidth="1"/>
    <col min="13817" max="13817" width="5.85546875" customWidth="1"/>
    <col min="13818" max="13818" width="7.85546875" customWidth="1"/>
    <col min="13825" max="13825" width="7.140625" customWidth="1"/>
    <col min="13826" max="13826" width="39.42578125" customWidth="1"/>
    <col min="13827" max="13827" width="6.7109375" customWidth="1"/>
    <col min="13828" max="13828" width="5.7109375" customWidth="1"/>
    <col min="13829" max="13829" width="5.85546875" customWidth="1"/>
    <col min="13830" max="13830" width="7.85546875" customWidth="1"/>
    <col min="13831" max="13831" width="14.28515625" customWidth="1"/>
    <col min="13832" max="13832" width="14" customWidth="1"/>
    <col min="13833" max="13847" width="0" hidden="1" customWidth="1"/>
    <col min="13848" max="13848" width="11.5703125" customWidth="1"/>
    <col min="13849" max="13849" width="11.85546875" customWidth="1"/>
    <col min="13850" max="13850" width="15.7109375" customWidth="1"/>
    <col min="13851" max="13851" width="1.5703125" customWidth="1"/>
    <col min="13852" max="13852" width="10.5703125" customWidth="1"/>
    <col min="13853" max="13853" width="20.7109375" customWidth="1"/>
    <col min="13854" max="13854" width="2" customWidth="1"/>
    <col min="13855" max="13855" width="10.140625" customWidth="1"/>
    <col min="13856" max="13856" width="13.7109375" customWidth="1"/>
    <col min="13857" max="13857" width="16.5703125" customWidth="1"/>
    <col min="13858" max="13858" width="16" customWidth="1"/>
    <col min="13859" max="14068" width="9.42578125" customWidth="1"/>
    <col min="14069" max="14069" width="7.140625" customWidth="1"/>
    <col min="14070" max="14070" width="35.28515625" customWidth="1"/>
    <col min="14071" max="14071" width="6.7109375" customWidth="1"/>
    <col min="14072" max="14072" width="5.7109375" customWidth="1"/>
    <col min="14073" max="14073" width="5.85546875" customWidth="1"/>
    <col min="14074" max="14074" width="7.85546875" customWidth="1"/>
    <col min="14081" max="14081" width="7.140625" customWidth="1"/>
    <col min="14082" max="14082" width="39.42578125" customWidth="1"/>
    <col min="14083" max="14083" width="6.7109375" customWidth="1"/>
    <col min="14084" max="14084" width="5.7109375" customWidth="1"/>
    <col min="14085" max="14085" width="5.85546875" customWidth="1"/>
    <col min="14086" max="14086" width="7.85546875" customWidth="1"/>
    <col min="14087" max="14087" width="14.28515625" customWidth="1"/>
    <col min="14088" max="14088" width="14" customWidth="1"/>
    <col min="14089" max="14103" width="0" hidden="1" customWidth="1"/>
    <col min="14104" max="14104" width="11.5703125" customWidth="1"/>
    <col min="14105" max="14105" width="11.85546875" customWidth="1"/>
    <col min="14106" max="14106" width="15.7109375" customWidth="1"/>
    <col min="14107" max="14107" width="1.5703125" customWidth="1"/>
    <col min="14108" max="14108" width="10.5703125" customWidth="1"/>
    <col min="14109" max="14109" width="20.7109375" customWidth="1"/>
    <col min="14110" max="14110" width="2" customWidth="1"/>
    <col min="14111" max="14111" width="10.140625" customWidth="1"/>
    <col min="14112" max="14112" width="13.7109375" customWidth="1"/>
    <col min="14113" max="14113" width="16.5703125" customWidth="1"/>
    <col min="14114" max="14114" width="16" customWidth="1"/>
    <col min="14115" max="14324" width="9.42578125" customWidth="1"/>
    <col min="14325" max="14325" width="7.140625" customWidth="1"/>
    <col min="14326" max="14326" width="35.28515625" customWidth="1"/>
    <col min="14327" max="14327" width="6.7109375" customWidth="1"/>
    <col min="14328" max="14328" width="5.7109375" customWidth="1"/>
    <col min="14329" max="14329" width="5.85546875" customWidth="1"/>
    <col min="14330" max="14330" width="7.85546875" customWidth="1"/>
    <col min="14337" max="14337" width="7.140625" customWidth="1"/>
    <col min="14338" max="14338" width="39.42578125" customWidth="1"/>
    <col min="14339" max="14339" width="6.7109375" customWidth="1"/>
    <col min="14340" max="14340" width="5.7109375" customWidth="1"/>
    <col min="14341" max="14341" width="5.85546875" customWidth="1"/>
    <col min="14342" max="14342" width="7.85546875" customWidth="1"/>
    <col min="14343" max="14343" width="14.28515625" customWidth="1"/>
    <col min="14344" max="14344" width="14" customWidth="1"/>
    <col min="14345" max="14359" width="0" hidden="1" customWidth="1"/>
    <col min="14360" max="14360" width="11.5703125" customWidth="1"/>
    <col min="14361" max="14361" width="11.85546875" customWidth="1"/>
    <col min="14362" max="14362" width="15.7109375" customWidth="1"/>
    <col min="14363" max="14363" width="1.5703125" customWidth="1"/>
    <col min="14364" max="14364" width="10.5703125" customWidth="1"/>
    <col min="14365" max="14365" width="20.7109375" customWidth="1"/>
    <col min="14366" max="14366" width="2" customWidth="1"/>
    <col min="14367" max="14367" width="10.140625" customWidth="1"/>
    <col min="14368" max="14368" width="13.7109375" customWidth="1"/>
    <col min="14369" max="14369" width="16.5703125" customWidth="1"/>
    <col min="14370" max="14370" width="16" customWidth="1"/>
    <col min="14371" max="14580" width="9.42578125" customWidth="1"/>
    <col min="14581" max="14581" width="7.140625" customWidth="1"/>
    <col min="14582" max="14582" width="35.28515625" customWidth="1"/>
    <col min="14583" max="14583" width="6.7109375" customWidth="1"/>
    <col min="14584" max="14584" width="5.7109375" customWidth="1"/>
    <col min="14585" max="14585" width="5.85546875" customWidth="1"/>
    <col min="14586" max="14586" width="7.85546875" customWidth="1"/>
    <col min="14593" max="14593" width="7.140625" customWidth="1"/>
    <col min="14594" max="14594" width="39.42578125" customWidth="1"/>
    <col min="14595" max="14595" width="6.7109375" customWidth="1"/>
    <col min="14596" max="14596" width="5.7109375" customWidth="1"/>
    <col min="14597" max="14597" width="5.85546875" customWidth="1"/>
    <col min="14598" max="14598" width="7.85546875" customWidth="1"/>
    <col min="14599" max="14599" width="14.28515625" customWidth="1"/>
    <col min="14600" max="14600" width="14" customWidth="1"/>
    <col min="14601" max="14615" width="0" hidden="1" customWidth="1"/>
    <col min="14616" max="14616" width="11.5703125" customWidth="1"/>
    <col min="14617" max="14617" width="11.85546875" customWidth="1"/>
    <col min="14618" max="14618" width="15.7109375" customWidth="1"/>
    <col min="14619" max="14619" width="1.5703125" customWidth="1"/>
    <col min="14620" max="14620" width="10.5703125" customWidth="1"/>
    <col min="14621" max="14621" width="20.7109375" customWidth="1"/>
    <col min="14622" max="14622" width="2" customWidth="1"/>
    <col min="14623" max="14623" width="10.140625" customWidth="1"/>
    <col min="14624" max="14624" width="13.7109375" customWidth="1"/>
    <col min="14625" max="14625" width="16.5703125" customWidth="1"/>
    <col min="14626" max="14626" width="16" customWidth="1"/>
    <col min="14627" max="14836" width="9.42578125" customWidth="1"/>
    <col min="14837" max="14837" width="7.140625" customWidth="1"/>
    <col min="14838" max="14838" width="35.28515625" customWidth="1"/>
    <col min="14839" max="14839" width="6.7109375" customWidth="1"/>
    <col min="14840" max="14840" width="5.7109375" customWidth="1"/>
    <col min="14841" max="14841" width="5.85546875" customWidth="1"/>
    <col min="14842" max="14842" width="7.85546875" customWidth="1"/>
    <col min="14849" max="14849" width="7.140625" customWidth="1"/>
    <col min="14850" max="14850" width="39.42578125" customWidth="1"/>
    <col min="14851" max="14851" width="6.7109375" customWidth="1"/>
    <col min="14852" max="14852" width="5.7109375" customWidth="1"/>
    <col min="14853" max="14853" width="5.85546875" customWidth="1"/>
    <col min="14854" max="14854" width="7.85546875" customWidth="1"/>
    <col min="14855" max="14855" width="14.28515625" customWidth="1"/>
    <col min="14856" max="14856" width="14" customWidth="1"/>
    <col min="14857" max="14871" width="0" hidden="1" customWidth="1"/>
    <col min="14872" max="14872" width="11.5703125" customWidth="1"/>
    <col min="14873" max="14873" width="11.85546875" customWidth="1"/>
    <col min="14874" max="14874" width="15.7109375" customWidth="1"/>
    <col min="14875" max="14875" width="1.5703125" customWidth="1"/>
    <col min="14876" max="14876" width="10.5703125" customWidth="1"/>
    <col min="14877" max="14877" width="20.7109375" customWidth="1"/>
    <col min="14878" max="14878" width="2" customWidth="1"/>
    <col min="14879" max="14879" width="10.140625" customWidth="1"/>
    <col min="14880" max="14880" width="13.7109375" customWidth="1"/>
    <col min="14881" max="14881" width="16.5703125" customWidth="1"/>
    <col min="14882" max="14882" width="16" customWidth="1"/>
    <col min="14883" max="15092" width="9.42578125" customWidth="1"/>
    <col min="15093" max="15093" width="7.140625" customWidth="1"/>
    <col min="15094" max="15094" width="35.28515625" customWidth="1"/>
    <col min="15095" max="15095" width="6.7109375" customWidth="1"/>
    <col min="15096" max="15096" width="5.7109375" customWidth="1"/>
    <col min="15097" max="15097" width="5.85546875" customWidth="1"/>
    <col min="15098" max="15098" width="7.85546875" customWidth="1"/>
    <col min="15105" max="15105" width="7.140625" customWidth="1"/>
    <col min="15106" max="15106" width="39.42578125" customWidth="1"/>
    <col min="15107" max="15107" width="6.7109375" customWidth="1"/>
    <col min="15108" max="15108" width="5.7109375" customWidth="1"/>
    <col min="15109" max="15109" width="5.85546875" customWidth="1"/>
    <col min="15110" max="15110" width="7.85546875" customWidth="1"/>
    <col min="15111" max="15111" width="14.28515625" customWidth="1"/>
    <col min="15112" max="15112" width="14" customWidth="1"/>
    <col min="15113" max="15127" width="0" hidden="1" customWidth="1"/>
    <col min="15128" max="15128" width="11.5703125" customWidth="1"/>
    <col min="15129" max="15129" width="11.85546875" customWidth="1"/>
    <col min="15130" max="15130" width="15.7109375" customWidth="1"/>
    <col min="15131" max="15131" width="1.5703125" customWidth="1"/>
    <col min="15132" max="15132" width="10.5703125" customWidth="1"/>
    <col min="15133" max="15133" width="20.7109375" customWidth="1"/>
    <col min="15134" max="15134" width="2" customWidth="1"/>
    <col min="15135" max="15135" width="10.140625" customWidth="1"/>
    <col min="15136" max="15136" width="13.7109375" customWidth="1"/>
    <col min="15137" max="15137" width="16.5703125" customWidth="1"/>
    <col min="15138" max="15138" width="16" customWidth="1"/>
    <col min="15139" max="15348" width="9.42578125" customWidth="1"/>
    <col min="15349" max="15349" width="7.140625" customWidth="1"/>
    <col min="15350" max="15350" width="35.28515625" customWidth="1"/>
    <col min="15351" max="15351" width="6.7109375" customWidth="1"/>
    <col min="15352" max="15352" width="5.7109375" customWidth="1"/>
    <col min="15353" max="15353" width="5.85546875" customWidth="1"/>
    <col min="15354" max="15354" width="7.85546875" customWidth="1"/>
    <col min="15361" max="15361" width="7.140625" customWidth="1"/>
    <col min="15362" max="15362" width="39.42578125" customWidth="1"/>
    <col min="15363" max="15363" width="6.7109375" customWidth="1"/>
    <col min="15364" max="15364" width="5.7109375" customWidth="1"/>
    <col min="15365" max="15365" width="5.85546875" customWidth="1"/>
    <col min="15366" max="15366" width="7.85546875" customWidth="1"/>
    <col min="15367" max="15367" width="14.28515625" customWidth="1"/>
    <col min="15368" max="15368" width="14" customWidth="1"/>
    <col min="15369" max="15383" width="0" hidden="1" customWidth="1"/>
    <col min="15384" max="15384" width="11.5703125" customWidth="1"/>
    <col min="15385" max="15385" width="11.85546875" customWidth="1"/>
    <col min="15386" max="15386" width="15.7109375" customWidth="1"/>
    <col min="15387" max="15387" width="1.5703125" customWidth="1"/>
    <col min="15388" max="15388" width="10.5703125" customWidth="1"/>
    <col min="15389" max="15389" width="20.7109375" customWidth="1"/>
    <col min="15390" max="15390" width="2" customWidth="1"/>
    <col min="15391" max="15391" width="10.140625" customWidth="1"/>
    <col min="15392" max="15392" width="13.7109375" customWidth="1"/>
    <col min="15393" max="15393" width="16.5703125" customWidth="1"/>
    <col min="15394" max="15394" width="16" customWidth="1"/>
    <col min="15395" max="15604" width="9.42578125" customWidth="1"/>
    <col min="15605" max="15605" width="7.140625" customWidth="1"/>
    <col min="15606" max="15606" width="35.28515625" customWidth="1"/>
    <col min="15607" max="15607" width="6.7109375" customWidth="1"/>
    <col min="15608" max="15608" width="5.7109375" customWidth="1"/>
    <col min="15609" max="15609" width="5.85546875" customWidth="1"/>
    <col min="15610" max="15610" width="7.85546875" customWidth="1"/>
    <col min="15617" max="15617" width="7.140625" customWidth="1"/>
    <col min="15618" max="15618" width="39.42578125" customWidth="1"/>
    <col min="15619" max="15619" width="6.7109375" customWidth="1"/>
    <col min="15620" max="15620" width="5.7109375" customWidth="1"/>
    <col min="15621" max="15621" width="5.85546875" customWidth="1"/>
    <col min="15622" max="15622" width="7.85546875" customWidth="1"/>
    <col min="15623" max="15623" width="14.28515625" customWidth="1"/>
    <col min="15624" max="15624" width="14" customWidth="1"/>
    <col min="15625" max="15639" width="0" hidden="1" customWidth="1"/>
    <col min="15640" max="15640" width="11.5703125" customWidth="1"/>
    <col min="15641" max="15641" width="11.85546875" customWidth="1"/>
    <col min="15642" max="15642" width="15.7109375" customWidth="1"/>
    <col min="15643" max="15643" width="1.5703125" customWidth="1"/>
    <col min="15644" max="15644" width="10.5703125" customWidth="1"/>
    <col min="15645" max="15645" width="20.7109375" customWidth="1"/>
    <col min="15646" max="15646" width="2" customWidth="1"/>
    <col min="15647" max="15647" width="10.140625" customWidth="1"/>
    <col min="15648" max="15648" width="13.7109375" customWidth="1"/>
    <col min="15649" max="15649" width="16.5703125" customWidth="1"/>
    <col min="15650" max="15650" width="16" customWidth="1"/>
    <col min="15651" max="15860" width="9.42578125" customWidth="1"/>
    <col min="15861" max="15861" width="7.140625" customWidth="1"/>
    <col min="15862" max="15862" width="35.28515625" customWidth="1"/>
    <col min="15863" max="15863" width="6.7109375" customWidth="1"/>
    <col min="15864" max="15864" width="5.7109375" customWidth="1"/>
    <col min="15865" max="15865" width="5.85546875" customWidth="1"/>
    <col min="15866" max="15866" width="7.85546875" customWidth="1"/>
    <col min="15873" max="15873" width="7.140625" customWidth="1"/>
    <col min="15874" max="15874" width="39.42578125" customWidth="1"/>
    <col min="15875" max="15875" width="6.7109375" customWidth="1"/>
    <col min="15876" max="15876" width="5.7109375" customWidth="1"/>
    <col min="15877" max="15877" width="5.85546875" customWidth="1"/>
    <col min="15878" max="15878" width="7.85546875" customWidth="1"/>
    <col min="15879" max="15879" width="14.28515625" customWidth="1"/>
    <col min="15880" max="15880" width="14" customWidth="1"/>
    <col min="15881" max="15895" width="0" hidden="1" customWidth="1"/>
    <col min="15896" max="15896" width="11.5703125" customWidth="1"/>
    <col min="15897" max="15897" width="11.85546875" customWidth="1"/>
    <col min="15898" max="15898" width="15.7109375" customWidth="1"/>
    <col min="15899" max="15899" width="1.5703125" customWidth="1"/>
    <col min="15900" max="15900" width="10.5703125" customWidth="1"/>
    <col min="15901" max="15901" width="20.7109375" customWidth="1"/>
    <col min="15902" max="15902" width="2" customWidth="1"/>
    <col min="15903" max="15903" width="10.140625" customWidth="1"/>
    <col min="15904" max="15904" width="13.7109375" customWidth="1"/>
    <col min="15905" max="15905" width="16.5703125" customWidth="1"/>
    <col min="15906" max="15906" width="16" customWidth="1"/>
    <col min="15907" max="16116" width="9.42578125" customWidth="1"/>
    <col min="16117" max="16117" width="7.140625" customWidth="1"/>
    <col min="16118" max="16118" width="35.28515625" customWidth="1"/>
    <col min="16119" max="16119" width="6.7109375" customWidth="1"/>
    <col min="16120" max="16120" width="5.7109375" customWidth="1"/>
    <col min="16121" max="16121" width="5.85546875" customWidth="1"/>
    <col min="16122" max="16122" width="7.85546875" customWidth="1"/>
    <col min="16129" max="16129" width="7.140625" customWidth="1"/>
    <col min="16130" max="16130" width="39.42578125" customWidth="1"/>
    <col min="16131" max="16131" width="6.7109375" customWidth="1"/>
    <col min="16132" max="16132" width="5.7109375" customWidth="1"/>
    <col min="16133" max="16133" width="5.85546875" customWidth="1"/>
    <col min="16134" max="16134" width="7.85546875" customWidth="1"/>
    <col min="16135" max="16135" width="14.28515625" customWidth="1"/>
    <col min="16136" max="16136" width="14" customWidth="1"/>
    <col min="16137" max="16151" width="0" hidden="1" customWidth="1"/>
    <col min="16152" max="16152" width="11.5703125" customWidth="1"/>
    <col min="16153" max="16153" width="11.85546875" customWidth="1"/>
    <col min="16154" max="16154" width="15.7109375" customWidth="1"/>
    <col min="16155" max="16155" width="1.5703125" customWidth="1"/>
    <col min="16156" max="16156" width="10.5703125" customWidth="1"/>
    <col min="16157" max="16157" width="20.7109375" customWidth="1"/>
    <col min="16158" max="16158" width="2" customWidth="1"/>
    <col min="16159" max="16159" width="10.140625" customWidth="1"/>
    <col min="16160" max="16160" width="13.7109375" customWidth="1"/>
    <col min="16161" max="16161" width="16.5703125" customWidth="1"/>
    <col min="16162" max="16162" width="16" customWidth="1"/>
    <col min="16163" max="16372" width="9.42578125" customWidth="1"/>
    <col min="16373" max="16373" width="7.140625" customWidth="1"/>
    <col min="16374" max="16374" width="35.28515625" customWidth="1"/>
    <col min="16375" max="16375" width="6.7109375" customWidth="1"/>
    <col min="16376" max="16376" width="5.7109375" customWidth="1"/>
    <col min="16377" max="16377" width="5.85546875" customWidth="1"/>
    <col min="16378" max="16378" width="7.85546875" customWidth="1"/>
  </cols>
  <sheetData>
    <row r="2" spans="1:29" ht="15.75" x14ac:dyDescent="0.25">
      <c r="A2" s="1" t="s">
        <v>97</v>
      </c>
      <c r="B2" s="1"/>
      <c r="C2" s="2"/>
      <c r="D2" s="2"/>
      <c r="E2" s="2"/>
      <c r="F2" s="2"/>
      <c r="G2" s="3"/>
    </row>
    <row r="3" spans="1:29" ht="15.75" x14ac:dyDescent="0.25">
      <c r="A3" s="5" t="s">
        <v>98</v>
      </c>
      <c r="B3" s="5"/>
      <c r="C3" s="5"/>
      <c r="D3" s="2"/>
      <c r="E3" s="2"/>
      <c r="F3" s="2"/>
      <c r="G3" s="2"/>
      <c r="K3" s="6"/>
      <c r="Q3" s="6"/>
      <c r="T3" s="6"/>
      <c r="AB3" s="7"/>
      <c r="AC3" s="7"/>
    </row>
    <row r="4" spans="1:29" ht="15.75" thickBot="1" x14ac:dyDescent="0.3">
      <c r="AB4" s="7"/>
      <c r="AC4" s="7"/>
    </row>
    <row r="5" spans="1:29" ht="19.5" thickBot="1" x14ac:dyDescent="0.3">
      <c r="A5" s="8" t="s">
        <v>0</v>
      </c>
      <c r="B5" s="8" t="s">
        <v>1</v>
      </c>
      <c r="C5" s="336" t="s">
        <v>2</v>
      </c>
      <c r="D5" s="337"/>
      <c r="E5" s="338"/>
      <c r="F5" s="342" t="s">
        <v>3</v>
      </c>
      <c r="G5" s="342"/>
      <c r="H5" s="342"/>
      <c r="I5" s="9"/>
      <c r="J5" s="343" t="s">
        <v>90</v>
      </c>
      <c r="K5" s="344"/>
      <c r="L5" s="9"/>
      <c r="M5" s="347" t="s">
        <v>5</v>
      </c>
      <c r="N5" s="348"/>
    </row>
    <row r="6" spans="1:29" ht="15.75" thickBot="1" x14ac:dyDescent="0.3">
      <c r="A6" s="248"/>
      <c r="B6" s="248"/>
      <c r="C6" s="339"/>
      <c r="D6" s="340"/>
      <c r="E6" s="341"/>
      <c r="F6" s="335" t="s">
        <v>99</v>
      </c>
      <c r="G6" s="335"/>
      <c r="H6" s="335"/>
      <c r="I6" s="9"/>
      <c r="J6" s="345"/>
      <c r="K6" s="346"/>
      <c r="L6" s="9"/>
      <c r="M6" s="349"/>
      <c r="N6" s="350"/>
    </row>
    <row r="7" spans="1:29" ht="45.75" thickBot="1" x14ac:dyDescent="0.3">
      <c r="A7" s="10"/>
      <c r="B7" s="10"/>
      <c r="C7" s="11" t="s">
        <v>6</v>
      </c>
      <c r="D7" s="12" t="s">
        <v>7</v>
      </c>
      <c r="E7" s="249" t="s">
        <v>8</v>
      </c>
      <c r="F7" s="16" t="s">
        <v>9</v>
      </c>
      <c r="G7" s="17" t="s">
        <v>10</v>
      </c>
      <c r="H7" s="15" t="s">
        <v>11</v>
      </c>
      <c r="I7" s="18"/>
      <c r="J7" s="19" t="s">
        <v>10</v>
      </c>
      <c r="K7" s="15" t="s">
        <v>11</v>
      </c>
      <c r="L7" s="20"/>
      <c r="M7" s="21" t="s">
        <v>12</v>
      </c>
      <c r="N7" s="15" t="s">
        <v>13</v>
      </c>
    </row>
    <row r="8" spans="1:29" x14ac:dyDescent="0.25">
      <c r="A8" s="22"/>
      <c r="B8" s="23"/>
      <c r="C8" s="24"/>
      <c r="D8" s="25"/>
      <c r="E8" s="26"/>
      <c r="F8" s="24"/>
      <c r="G8" s="29"/>
      <c r="H8" s="30"/>
      <c r="J8" s="24"/>
      <c r="K8" s="31"/>
      <c r="L8"/>
      <c r="M8" s="23"/>
      <c r="N8" s="30"/>
    </row>
    <row r="9" spans="1:29" x14ac:dyDescent="0.25">
      <c r="A9" s="32">
        <v>1</v>
      </c>
      <c r="B9" s="33" t="s">
        <v>14</v>
      </c>
      <c r="C9" s="34">
        <v>2</v>
      </c>
      <c r="D9" s="35">
        <v>1</v>
      </c>
      <c r="E9" s="36">
        <f t="shared" ref="E9:E28" si="0">C9+D9</f>
        <v>3</v>
      </c>
      <c r="F9" s="34">
        <v>3</v>
      </c>
      <c r="G9" s="35">
        <v>187.5</v>
      </c>
      <c r="H9" s="39">
        <v>8800228</v>
      </c>
      <c r="J9" s="40"/>
      <c r="K9" s="41"/>
      <c r="L9"/>
      <c r="M9" s="42" t="e">
        <f t="shared" ref="M9:N15" si="1">G9/J9</f>
        <v>#DIV/0!</v>
      </c>
      <c r="N9" s="43" t="e">
        <f t="shared" si="1"/>
        <v>#DIV/0!</v>
      </c>
    </row>
    <row r="10" spans="1:29" x14ac:dyDescent="0.25">
      <c r="A10" s="32">
        <f>A9+1</f>
        <v>2</v>
      </c>
      <c r="B10" s="33" t="s">
        <v>15</v>
      </c>
      <c r="C10" s="34">
        <v>6</v>
      </c>
      <c r="D10" s="35"/>
      <c r="E10" s="36">
        <f t="shared" si="0"/>
        <v>6</v>
      </c>
      <c r="F10" s="34">
        <v>6</v>
      </c>
      <c r="G10" s="35">
        <v>415</v>
      </c>
      <c r="H10" s="39">
        <v>21213533</v>
      </c>
      <c r="J10" s="40"/>
      <c r="K10" s="41"/>
      <c r="L10"/>
      <c r="M10" s="42" t="e">
        <f t="shared" si="1"/>
        <v>#DIV/0!</v>
      </c>
      <c r="N10" s="43" t="e">
        <f t="shared" si="1"/>
        <v>#DIV/0!</v>
      </c>
    </row>
    <row r="11" spans="1:29" x14ac:dyDescent="0.25">
      <c r="A11" s="32">
        <f t="shared" ref="A11:A28" si="2">A10+1</f>
        <v>3</v>
      </c>
      <c r="B11" s="33" t="s">
        <v>16</v>
      </c>
      <c r="C11" s="34">
        <v>8</v>
      </c>
      <c r="D11" s="35">
        <v>3</v>
      </c>
      <c r="E11" s="36">
        <f t="shared" si="0"/>
        <v>11</v>
      </c>
      <c r="F11" s="34">
        <v>12</v>
      </c>
      <c r="G11" s="35">
        <v>681</v>
      </c>
      <c r="H11" s="39">
        <v>31265974</v>
      </c>
      <c r="J11" s="40"/>
      <c r="K11" s="41"/>
      <c r="L11"/>
      <c r="M11" s="42" t="e">
        <f t="shared" si="1"/>
        <v>#DIV/0!</v>
      </c>
      <c r="N11" s="43" t="e">
        <f t="shared" si="1"/>
        <v>#DIV/0!</v>
      </c>
    </row>
    <row r="12" spans="1:29" x14ac:dyDescent="0.25">
      <c r="A12" s="32">
        <f t="shared" si="2"/>
        <v>4</v>
      </c>
      <c r="B12" s="44" t="s">
        <v>17</v>
      </c>
      <c r="C12" s="45">
        <v>3</v>
      </c>
      <c r="D12" s="46">
        <v>7</v>
      </c>
      <c r="E12" s="36">
        <f t="shared" si="0"/>
        <v>10</v>
      </c>
      <c r="F12" s="34">
        <v>7</v>
      </c>
      <c r="G12" s="35">
        <v>195</v>
      </c>
      <c r="H12" s="39">
        <v>9398275</v>
      </c>
      <c r="J12" s="40"/>
      <c r="K12" s="41"/>
      <c r="L12"/>
      <c r="M12" s="42" t="e">
        <f t="shared" si="1"/>
        <v>#DIV/0!</v>
      </c>
      <c r="N12" s="43" t="e">
        <f t="shared" si="1"/>
        <v>#DIV/0!</v>
      </c>
      <c r="P12" s="47"/>
    </row>
    <row r="13" spans="1:29" x14ac:dyDescent="0.25">
      <c r="A13" s="32">
        <f t="shared" si="2"/>
        <v>5</v>
      </c>
      <c r="B13" s="33" t="s">
        <v>18</v>
      </c>
      <c r="C13" s="34"/>
      <c r="D13" s="35"/>
      <c r="E13" s="36">
        <f t="shared" si="0"/>
        <v>0</v>
      </c>
      <c r="F13" s="34"/>
      <c r="G13" s="35"/>
      <c r="H13" s="39"/>
      <c r="J13" s="40"/>
      <c r="K13" s="41"/>
      <c r="L13"/>
      <c r="M13" s="42" t="e">
        <f t="shared" si="1"/>
        <v>#DIV/0!</v>
      </c>
      <c r="N13" s="43" t="e">
        <f t="shared" si="1"/>
        <v>#DIV/0!</v>
      </c>
      <c r="P13" s="47"/>
    </row>
    <row r="14" spans="1:29" x14ac:dyDescent="0.25">
      <c r="A14" s="32">
        <f t="shared" si="2"/>
        <v>6</v>
      </c>
      <c r="B14" s="33" t="s">
        <v>19</v>
      </c>
      <c r="C14" s="34"/>
      <c r="D14" s="35"/>
      <c r="E14" s="36">
        <f t="shared" si="0"/>
        <v>0</v>
      </c>
      <c r="F14" s="34"/>
      <c r="G14" s="35"/>
      <c r="H14" s="39"/>
      <c r="I14" s="48"/>
      <c r="J14" s="40"/>
      <c r="K14" s="41"/>
      <c r="L14" s="48"/>
      <c r="M14" s="42" t="e">
        <f t="shared" si="1"/>
        <v>#DIV/0!</v>
      </c>
      <c r="N14" s="43" t="e">
        <f t="shared" si="1"/>
        <v>#DIV/0!</v>
      </c>
      <c r="P14" s="47"/>
    </row>
    <row r="15" spans="1:29" x14ac:dyDescent="0.25">
      <c r="A15" s="32">
        <f t="shared" si="2"/>
        <v>7</v>
      </c>
      <c r="B15" s="33" t="s">
        <v>20</v>
      </c>
      <c r="C15" s="34"/>
      <c r="D15" s="35"/>
      <c r="E15" s="36">
        <f t="shared" si="0"/>
        <v>0</v>
      </c>
      <c r="F15" s="34"/>
      <c r="G15" s="35"/>
      <c r="H15" s="39"/>
      <c r="I15" s="48"/>
      <c r="J15" s="40"/>
      <c r="K15" s="41"/>
      <c r="L15" s="48"/>
      <c r="M15" s="42" t="e">
        <f t="shared" si="1"/>
        <v>#DIV/0!</v>
      </c>
      <c r="N15" s="43" t="e">
        <f t="shared" si="1"/>
        <v>#DIV/0!</v>
      </c>
      <c r="P15" s="47"/>
    </row>
    <row r="16" spans="1:29" x14ac:dyDescent="0.25">
      <c r="A16" s="32">
        <f t="shared" si="2"/>
        <v>8</v>
      </c>
      <c r="B16" s="33" t="s">
        <v>21</v>
      </c>
      <c r="C16" s="34">
        <v>4</v>
      </c>
      <c r="D16" s="35">
        <v>1</v>
      </c>
      <c r="E16" s="36">
        <f t="shared" si="0"/>
        <v>5</v>
      </c>
      <c r="F16" s="34">
        <v>5</v>
      </c>
      <c r="G16" s="35">
        <v>280</v>
      </c>
      <c r="H16" s="39">
        <v>14315809</v>
      </c>
      <c r="I16" s="48"/>
      <c r="J16" s="40"/>
      <c r="K16" s="41"/>
      <c r="L16" s="48"/>
      <c r="M16" s="49" t="e">
        <f>(G16+G17)/J16</f>
        <v>#DIV/0!</v>
      </c>
      <c r="N16" s="50" t="e">
        <f>(H16+H17)/K16</f>
        <v>#DIV/0!</v>
      </c>
      <c r="P16" s="47"/>
    </row>
    <row r="17" spans="1:14" x14ac:dyDescent="0.25">
      <c r="A17" s="32">
        <f t="shared" si="2"/>
        <v>9</v>
      </c>
      <c r="B17" s="33" t="s">
        <v>22</v>
      </c>
      <c r="C17" s="34"/>
      <c r="D17" s="35"/>
      <c r="E17" s="36">
        <f t="shared" si="0"/>
        <v>0</v>
      </c>
      <c r="F17" s="34"/>
      <c r="G17" s="35"/>
      <c r="H17" s="39"/>
      <c r="I17" s="48"/>
      <c r="J17" s="40"/>
      <c r="K17" s="41"/>
      <c r="L17" s="48"/>
      <c r="M17" s="42"/>
      <c r="N17" s="43"/>
    </row>
    <row r="18" spans="1:14" x14ac:dyDescent="0.25">
      <c r="A18" s="32">
        <f t="shared" si="2"/>
        <v>10</v>
      </c>
      <c r="B18" s="33" t="s">
        <v>23</v>
      </c>
      <c r="C18" s="34">
        <v>11</v>
      </c>
      <c r="D18" s="35">
        <v>1</v>
      </c>
      <c r="E18" s="36">
        <f t="shared" si="0"/>
        <v>12</v>
      </c>
      <c r="F18" s="34">
        <v>11</v>
      </c>
      <c r="G18" s="35">
        <v>488</v>
      </c>
      <c r="H18" s="39">
        <v>24865434</v>
      </c>
      <c r="I18" s="48"/>
      <c r="J18" s="40"/>
      <c r="K18" s="41"/>
      <c r="L18" s="48"/>
      <c r="M18" s="42" t="e">
        <f t="shared" ref="M18:N27" si="3">G18/J18</f>
        <v>#DIV/0!</v>
      </c>
      <c r="N18" s="43" t="e">
        <f t="shared" si="3"/>
        <v>#DIV/0!</v>
      </c>
    </row>
    <row r="19" spans="1:14" x14ac:dyDescent="0.25">
      <c r="A19" s="32">
        <f t="shared" si="2"/>
        <v>11</v>
      </c>
      <c r="B19" s="33" t="s">
        <v>24</v>
      </c>
      <c r="C19" s="34">
        <v>7</v>
      </c>
      <c r="D19" s="35"/>
      <c r="E19" s="36">
        <f t="shared" si="0"/>
        <v>7</v>
      </c>
      <c r="F19" s="34">
        <v>8</v>
      </c>
      <c r="G19" s="35">
        <v>499</v>
      </c>
      <c r="H19" s="39">
        <v>24027351</v>
      </c>
      <c r="I19" s="48"/>
      <c r="J19" s="40"/>
      <c r="K19" s="41"/>
      <c r="L19" s="48"/>
      <c r="M19" s="42" t="e">
        <f t="shared" si="3"/>
        <v>#DIV/0!</v>
      </c>
      <c r="N19" s="43" t="e">
        <f t="shared" si="3"/>
        <v>#DIV/0!</v>
      </c>
    </row>
    <row r="20" spans="1:14" s="48" customFormat="1" x14ac:dyDescent="0.25">
      <c r="A20" s="32">
        <f t="shared" si="2"/>
        <v>12</v>
      </c>
      <c r="B20" s="52" t="s">
        <v>25</v>
      </c>
      <c r="C20" s="53">
        <v>5</v>
      </c>
      <c r="D20" s="54"/>
      <c r="E20" s="55">
        <f t="shared" si="0"/>
        <v>5</v>
      </c>
      <c r="F20" s="53">
        <v>5</v>
      </c>
      <c r="G20" s="54">
        <v>286.5</v>
      </c>
      <c r="H20" s="56">
        <v>14899047</v>
      </c>
      <c r="J20" s="40"/>
      <c r="K20" s="41"/>
      <c r="M20" s="42" t="e">
        <f t="shared" si="3"/>
        <v>#DIV/0!</v>
      </c>
      <c r="N20" s="43" t="e">
        <f t="shared" si="3"/>
        <v>#DIV/0!</v>
      </c>
    </row>
    <row r="21" spans="1:14" x14ac:dyDescent="0.25">
      <c r="A21" s="32">
        <f t="shared" si="2"/>
        <v>13</v>
      </c>
      <c r="B21" s="33" t="s">
        <v>26</v>
      </c>
      <c r="C21" s="34">
        <v>9</v>
      </c>
      <c r="D21" s="35">
        <v>4</v>
      </c>
      <c r="E21" s="36">
        <f t="shared" si="0"/>
        <v>13</v>
      </c>
      <c r="F21" s="34">
        <v>13</v>
      </c>
      <c r="G21" s="35">
        <v>553</v>
      </c>
      <c r="H21" s="39">
        <v>25890283</v>
      </c>
      <c r="I21" s="48"/>
      <c r="J21" s="40"/>
      <c r="K21" s="41"/>
      <c r="L21" s="48"/>
      <c r="M21" s="42" t="e">
        <f t="shared" si="3"/>
        <v>#DIV/0!</v>
      </c>
      <c r="N21" s="43" t="e">
        <f t="shared" si="3"/>
        <v>#DIV/0!</v>
      </c>
    </row>
    <row r="22" spans="1:14" x14ac:dyDescent="0.25">
      <c r="A22" s="32">
        <f t="shared" si="2"/>
        <v>14</v>
      </c>
      <c r="B22" s="33" t="s">
        <v>27</v>
      </c>
      <c r="C22" s="34">
        <v>3</v>
      </c>
      <c r="D22" s="35">
        <v>2</v>
      </c>
      <c r="E22" s="36">
        <f t="shared" si="0"/>
        <v>5</v>
      </c>
      <c r="F22" s="34">
        <v>5</v>
      </c>
      <c r="G22" s="35">
        <v>263</v>
      </c>
      <c r="H22" s="39">
        <v>11955319</v>
      </c>
      <c r="I22" s="48"/>
      <c r="J22" s="40"/>
      <c r="K22" s="41"/>
      <c r="L22" s="48"/>
      <c r="M22" s="42" t="e">
        <f t="shared" si="3"/>
        <v>#DIV/0!</v>
      </c>
      <c r="N22" s="43" t="e">
        <f t="shared" si="3"/>
        <v>#DIV/0!</v>
      </c>
    </row>
    <row r="23" spans="1:14" x14ac:dyDescent="0.25">
      <c r="A23" s="32">
        <f t="shared" si="2"/>
        <v>15</v>
      </c>
      <c r="B23" s="57" t="s">
        <v>28</v>
      </c>
      <c r="C23" s="34">
        <v>11</v>
      </c>
      <c r="D23" s="35">
        <v>9</v>
      </c>
      <c r="E23" s="36">
        <f t="shared" si="0"/>
        <v>20</v>
      </c>
      <c r="F23" s="34">
        <v>19</v>
      </c>
      <c r="G23" s="35">
        <v>980</v>
      </c>
      <c r="H23" s="39">
        <v>44899868</v>
      </c>
      <c r="I23" s="48"/>
      <c r="J23" s="40"/>
      <c r="K23" s="41"/>
      <c r="L23" s="48"/>
      <c r="M23" s="42" t="e">
        <f t="shared" si="3"/>
        <v>#DIV/0!</v>
      </c>
      <c r="N23" s="43" t="e">
        <f t="shared" si="3"/>
        <v>#DIV/0!</v>
      </c>
    </row>
    <row r="24" spans="1:14" x14ac:dyDescent="0.25">
      <c r="A24" s="32">
        <f t="shared" si="2"/>
        <v>16</v>
      </c>
      <c r="B24" s="246" t="s">
        <v>89</v>
      </c>
      <c r="C24" s="34"/>
      <c r="D24" s="35">
        <v>9</v>
      </c>
      <c r="E24" s="36">
        <f t="shared" si="0"/>
        <v>9</v>
      </c>
      <c r="F24" s="34">
        <v>9</v>
      </c>
      <c r="G24" s="35">
        <v>494</v>
      </c>
      <c r="H24" s="39">
        <v>18731541</v>
      </c>
      <c r="I24" s="48"/>
      <c r="J24" s="40"/>
      <c r="K24" s="41"/>
      <c r="L24" s="48"/>
      <c r="M24" s="42" t="e">
        <f t="shared" si="3"/>
        <v>#DIV/0!</v>
      </c>
      <c r="N24" s="43" t="e">
        <f t="shared" si="3"/>
        <v>#DIV/0!</v>
      </c>
    </row>
    <row r="25" spans="1:14" x14ac:dyDescent="0.25">
      <c r="A25" s="32">
        <f t="shared" si="2"/>
        <v>17</v>
      </c>
      <c r="B25" s="33" t="s">
        <v>29</v>
      </c>
      <c r="C25" s="34">
        <v>16</v>
      </c>
      <c r="D25" s="35">
        <v>4</v>
      </c>
      <c r="E25" s="36">
        <f t="shared" si="0"/>
        <v>20</v>
      </c>
      <c r="F25" s="34">
        <v>20</v>
      </c>
      <c r="G25" s="35">
        <v>1232.5</v>
      </c>
      <c r="H25" s="39">
        <v>63248418</v>
      </c>
      <c r="J25" s="40">
        <v>280</v>
      </c>
      <c r="K25" s="41">
        <v>14367087.768786129</v>
      </c>
      <c r="L25"/>
      <c r="M25" s="42">
        <f t="shared" si="3"/>
        <v>4.4017857142857144</v>
      </c>
      <c r="N25" s="43">
        <f t="shared" si="3"/>
        <v>4.4023130517385178</v>
      </c>
    </row>
    <row r="26" spans="1:14" x14ac:dyDescent="0.25">
      <c r="A26" s="32">
        <f t="shared" si="2"/>
        <v>18</v>
      </c>
      <c r="B26" s="33" t="s">
        <v>30</v>
      </c>
      <c r="C26" s="34">
        <v>2</v>
      </c>
      <c r="D26" s="35">
        <v>7</v>
      </c>
      <c r="E26" s="36">
        <f t="shared" si="0"/>
        <v>9</v>
      </c>
      <c r="F26" s="34">
        <v>9</v>
      </c>
      <c r="G26" s="35">
        <v>280</v>
      </c>
      <c r="H26" s="39">
        <v>13310748</v>
      </c>
      <c r="J26" s="40"/>
      <c r="K26" s="41"/>
      <c r="L26"/>
      <c r="M26" s="42" t="e">
        <f t="shared" si="3"/>
        <v>#DIV/0!</v>
      </c>
      <c r="N26" s="43" t="e">
        <f t="shared" si="3"/>
        <v>#DIV/0!</v>
      </c>
    </row>
    <row r="27" spans="1:14" x14ac:dyDescent="0.25">
      <c r="A27" s="32">
        <f t="shared" si="2"/>
        <v>19</v>
      </c>
      <c r="B27" s="33" t="s">
        <v>31</v>
      </c>
      <c r="C27" s="34">
        <v>2</v>
      </c>
      <c r="D27" s="35">
        <v>10</v>
      </c>
      <c r="E27" s="36">
        <f t="shared" si="0"/>
        <v>12</v>
      </c>
      <c r="F27" s="34">
        <v>12</v>
      </c>
      <c r="G27" s="35">
        <v>724</v>
      </c>
      <c r="H27" s="39">
        <v>35080286</v>
      </c>
      <c r="J27" s="40">
        <v>577</v>
      </c>
      <c r="K27" s="41">
        <v>25340370.809248555</v>
      </c>
      <c r="L27"/>
      <c r="M27" s="42">
        <f t="shared" si="3"/>
        <v>1.2547660311958406</v>
      </c>
      <c r="N27" s="43">
        <f t="shared" si="3"/>
        <v>1.3843635621621069</v>
      </c>
    </row>
    <row r="28" spans="1:14" x14ac:dyDescent="0.25">
      <c r="A28" s="247">
        <f t="shared" si="2"/>
        <v>20</v>
      </c>
      <c r="B28" s="61" t="s">
        <v>32</v>
      </c>
      <c r="C28" s="62">
        <v>25</v>
      </c>
      <c r="D28" s="63">
        <v>10</v>
      </c>
      <c r="E28" s="64">
        <f t="shared" si="0"/>
        <v>35</v>
      </c>
      <c r="F28" s="34"/>
      <c r="G28" s="35"/>
      <c r="H28" s="39"/>
      <c r="J28" s="40">
        <v>504</v>
      </c>
      <c r="K28" s="41">
        <v>26192104.578034684</v>
      </c>
      <c r="L28"/>
      <c r="M28" s="65">
        <f>(G29+G30)/J28</f>
        <v>1.748015873015873</v>
      </c>
      <c r="N28" s="66">
        <f>(H29+H30)/K28</f>
        <v>1.7934172437366096</v>
      </c>
    </row>
    <row r="29" spans="1:14" x14ac:dyDescent="0.25">
      <c r="A29" s="60"/>
      <c r="B29" s="61" t="s">
        <v>33</v>
      </c>
      <c r="C29" s="34"/>
      <c r="D29" s="35"/>
      <c r="E29" s="36"/>
      <c r="F29" s="34"/>
      <c r="G29" s="35"/>
      <c r="H29" s="39"/>
      <c r="J29" s="67"/>
      <c r="K29" s="68"/>
      <c r="L29"/>
      <c r="M29" s="69"/>
      <c r="N29" s="70"/>
    </row>
    <row r="30" spans="1:14" x14ac:dyDescent="0.25">
      <c r="A30" s="32"/>
      <c r="B30" s="33" t="s">
        <v>34</v>
      </c>
      <c r="C30" s="34"/>
      <c r="D30" s="35"/>
      <c r="E30" s="36"/>
      <c r="F30" s="34">
        <v>32</v>
      </c>
      <c r="G30" s="35">
        <v>881</v>
      </c>
      <c r="H30" s="39">
        <v>46973372</v>
      </c>
      <c r="J30" s="40"/>
      <c r="K30" s="41"/>
      <c r="L30"/>
      <c r="M30" s="42"/>
      <c r="N30" s="43"/>
    </row>
    <row r="31" spans="1:14" x14ac:dyDescent="0.25">
      <c r="A31" s="32">
        <v>21</v>
      </c>
      <c r="B31" s="33" t="s">
        <v>35</v>
      </c>
      <c r="C31" s="34">
        <v>2</v>
      </c>
      <c r="D31" s="35">
        <v>3</v>
      </c>
      <c r="E31" s="36">
        <f t="shared" ref="E31:E41" si="4">C31+D31</f>
        <v>5</v>
      </c>
      <c r="F31" s="34">
        <v>5</v>
      </c>
      <c r="G31" s="35">
        <v>233</v>
      </c>
      <c r="H31" s="39">
        <v>11511438</v>
      </c>
      <c r="J31" s="40"/>
      <c r="K31" s="41"/>
      <c r="L31"/>
      <c r="M31" s="42" t="e">
        <f>G31/J31</f>
        <v>#DIV/0!</v>
      </c>
      <c r="N31" s="43" t="e">
        <f>H31/K31</f>
        <v>#DIV/0!</v>
      </c>
    </row>
    <row r="32" spans="1:14" x14ac:dyDescent="0.25">
      <c r="A32" s="60">
        <f t="shared" ref="A32:A41" si="5">A31+1</f>
        <v>22</v>
      </c>
      <c r="B32" s="61" t="s">
        <v>36</v>
      </c>
      <c r="C32" s="62">
        <v>8</v>
      </c>
      <c r="D32" s="63"/>
      <c r="E32" s="64">
        <f t="shared" si="4"/>
        <v>8</v>
      </c>
      <c r="F32" s="34">
        <v>7</v>
      </c>
      <c r="G32" s="35">
        <v>382</v>
      </c>
      <c r="H32" s="39">
        <v>19820181</v>
      </c>
      <c r="J32" s="40"/>
      <c r="K32" s="41"/>
      <c r="L32"/>
      <c r="M32" s="73" t="e">
        <f>(G32+G33)/J32</f>
        <v>#DIV/0!</v>
      </c>
      <c r="N32" s="50" t="e">
        <f>(H32+H33)/K32</f>
        <v>#DIV/0!</v>
      </c>
    </row>
    <row r="33" spans="1:14" x14ac:dyDescent="0.25">
      <c r="A33" s="32">
        <f t="shared" si="5"/>
        <v>23</v>
      </c>
      <c r="B33" s="33" t="s">
        <v>37</v>
      </c>
      <c r="C33" s="34">
        <v>9</v>
      </c>
      <c r="D33" s="35">
        <v>3</v>
      </c>
      <c r="E33" s="36">
        <f t="shared" si="4"/>
        <v>12</v>
      </c>
      <c r="F33" s="34">
        <v>12</v>
      </c>
      <c r="G33" s="35">
        <v>713.5</v>
      </c>
      <c r="H33" s="39">
        <v>36792997.5</v>
      </c>
      <c r="J33" s="74"/>
      <c r="K33" s="68"/>
      <c r="L33"/>
      <c r="M33" s="42"/>
      <c r="N33" s="43"/>
    </row>
    <row r="34" spans="1:14" x14ac:dyDescent="0.25">
      <c r="A34" s="32">
        <f t="shared" si="5"/>
        <v>24</v>
      </c>
      <c r="B34" s="33" t="s">
        <v>38</v>
      </c>
      <c r="C34" s="34">
        <v>10</v>
      </c>
      <c r="D34" s="35">
        <v>3</v>
      </c>
      <c r="E34" s="36">
        <f t="shared" si="4"/>
        <v>13</v>
      </c>
      <c r="F34" s="34">
        <v>12</v>
      </c>
      <c r="G34" s="35">
        <v>567</v>
      </c>
      <c r="H34" s="39">
        <v>28582935</v>
      </c>
      <c r="I34" s="48"/>
      <c r="J34" s="40"/>
      <c r="K34" s="41"/>
      <c r="L34" s="48"/>
      <c r="M34" s="42" t="e">
        <f t="shared" ref="M34:N41" si="6">G34/J34</f>
        <v>#DIV/0!</v>
      </c>
      <c r="N34" s="43" t="e">
        <f t="shared" si="6"/>
        <v>#DIV/0!</v>
      </c>
    </row>
    <row r="35" spans="1:14" x14ac:dyDescent="0.25">
      <c r="A35" s="32">
        <f t="shared" si="5"/>
        <v>25</v>
      </c>
      <c r="B35" s="33" t="s">
        <v>39</v>
      </c>
      <c r="C35" s="34">
        <v>8</v>
      </c>
      <c r="D35" s="35"/>
      <c r="E35" s="36">
        <f t="shared" si="4"/>
        <v>8</v>
      </c>
      <c r="F35" s="34">
        <v>6</v>
      </c>
      <c r="G35" s="35">
        <v>90</v>
      </c>
      <c r="H35" s="39">
        <v>4643524</v>
      </c>
      <c r="I35" s="48"/>
      <c r="J35" s="40"/>
      <c r="K35" s="41"/>
      <c r="L35" s="48"/>
      <c r="M35" s="42" t="e">
        <f t="shared" si="6"/>
        <v>#DIV/0!</v>
      </c>
      <c r="N35" s="43" t="e">
        <f t="shared" si="6"/>
        <v>#DIV/0!</v>
      </c>
    </row>
    <row r="36" spans="1:14" x14ac:dyDescent="0.25">
      <c r="A36" s="32">
        <f t="shared" si="5"/>
        <v>26</v>
      </c>
      <c r="B36" s="33" t="s">
        <v>40</v>
      </c>
      <c r="C36" s="34">
        <v>1</v>
      </c>
      <c r="D36" s="35">
        <v>1</v>
      </c>
      <c r="E36" s="36">
        <f t="shared" si="4"/>
        <v>2</v>
      </c>
      <c r="F36" s="34">
        <v>1</v>
      </c>
      <c r="G36" s="35">
        <v>33</v>
      </c>
      <c r="H36" s="39">
        <v>1625883</v>
      </c>
      <c r="I36" s="48"/>
      <c r="J36" s="40"/>
      <c r="K36" s="41"/>
      <c r="L36" s="48"/>
      <c r="M36" s="42" t="e">
        <f t="shared" si="6"/>
        <v>#DIV/0!</v>
      </c>
      <c r="N36" s="43" t="e">
        <f t="shared" si="6"/>
        <v>#DIV/0!</v>
      </c>
    </row>
    <row r="37" spans="1:14" x14ac:dyDescent="0.25">
      <c r="A37" s="32">
        <f t="shared" si="5"/>
        <v>27</v>
      </c>
      <c r="B37" s="33" t="s">
        <v>41</v>
      </c>
      <c r="C37" s="34">
        <v>4</v>
      </c>
      <c r="D37" s="35"/>
      <c r="E37" s="36">
        <f t="shared" si="4"/>
        <v>4</v>
      </c>
      <c r="F37" s="34">
        <v>4</v>
      </c>
      <c r="G37" s="35">
        <v>254</v>
      </c>
      <c r="H37" s="39">
        <v>13013270</v>
      </c>
      <c r="I37" s="48"/>
      <c r="J37" s="58"/>
      <c r="K37" s="59"/>
      <c r="L37" s="48"/>
      <c r="M37" s="42" t="e">
        <f t="shared" si="6"/>
        <v>#DIV/0!</v>
      </c>
      <c r="N37" s="43" t="e">
        <f t="shared" si="6"/>
        <v>#DIV/0!</v>
      </c>
    </row>
    <row r="38" spans="1:14" x14ac:dyDescent="0.25">
      <c r="A38" s="32">
        <f t="shared" si="5"/>
        <v>28</v>
      </c>
      <c r="B38" s="33" t="s">
        <v>42</v>
      </c>
      <c r="C38" s="34">
        <v>3</v>
      </c>
      <c r="D38" s="35"/>
      <c r="E38" s="36">
        <f t="shared" si="4"/>
        <v>3</v>
      </c>
      <c r="F38" s="34">
        <v>4</v>
      </c>
      <c r="G38" s="35">
        <v>98</v>
      </c>
      <c r="H38" s="39">
        <v>5318026</v>
      </c>
      <c r="J38" s="40"/>
      <c r="K38" s="41"/>
      <c r="L38"/>
      <c r="M38" s="42" t="e">
        <f t="shared" si="6"/>
        <v>#DIV/0!</v>
      </c>
      <c r="N38" s="43" t="e">
        <f t="shared" si="6"/>
        <v>#DIV/0!</v>
      </c>
    </row>
    <row r="39" spans="1:14" x14ac:dyDescent="0.25">
      <c r="A39" s="32">
        <f t="shared" si="5"/>
        <v>29</v>
      </c>
      <c r="B39" s="44" t="s">
        <v>43</v>
      </c>
      <c r="C39" s="45">
        <v>1</v>
      </c>
      <c r="D39" s="46">
        <v>15</v>
      </c>
      <c r="E39" s="36">
        <f t="shared" si="4"/>
        <v>16</v>
      </c>
      <c r="F39" s="34">
        <v>16</v>
      </c>
      <c r="G39" s="35">
        <v>966.5</v>
      </c>
      <c r="H39" s="39">
        <v>46910455</v>
      </c>
      <c r="J39" s="58"/>
      <c r="K39" s="59"/>
      <c r="L39"/>
      <c r="M39" s="42" t="e">
        <f t="shared" si="6"/>
        <v>#DIV/0!</v>
      </c>
      <c r="N39" s="43" t="e">
        <f t="shared" si="6"/>
        <v>#DIV/0!</v>
      </c>
    </row>
    <row r="40" spans="1:14" x14ac:dyDescent="0.25">
      <c r="A40" s="32">
        <f t="shared" si="5"/>
        <v>30</v>
      </c>
      <c r="B40" s="33" t="s">
        <v>44</v>
      </c>
      <c r="C40" s="34">
        <v>4</v>
      </c>
      <c r="D40" s="35">
        <v>3</v>
      </c>
      <c r="E40" s="36">
        <f t="shared" si="4"/>
        <v>7</v>
      </c>
      <c r="F40" s="34">
        <v>7</v>
      </c>
      <c r="G40" s="35">
        <v>372</v>
      </c>
      <c r="H40" s="39">
        <v>17767341</v>
      </c>
      <c r="J40" s="58"/>
      <c r="K40" s="59"/>
      <c r="L40"/>
      <c r="M40" s="42" t="e">
        <f t="shared" si="6"/>
        <v>#DIV/0!</v>
      </c>
      <c r="N40" s="43" t="e">
        <f t="shared" si="6"/>
        <v>#DIV/0!</v>
      </c>
    </row>
    <row r="41" spans="1:14" x14ac:dyDescent="0.25">
      <c r="A41" s="32">
        <f t="shared" si="5"/>
        <v>31</v>
      </c>
      <c r="B41" s="44" t="s">
        <v>45</v>
      </c>
      <c r="C41" s="34">
        <v>1</v>
      </c>
      <c r="D41" s="35"/>
      <c r="E41" s="36">
        <f t="shared" si="4"/>
        <v>1</v>
      </c>
      <c r="F41" s="34"/>
      <c r="G41" s="35"/>
      <c r="H41" s="39"/>
      <c r="J41" s="58"/>
      <c r="K41" s="59"/>
      <c r="L41"/>
      <c r="M41" s="42" t="e">
        <f t="shared" si="6"/>
        <v>#DIV/0!</v>
      </c>
      <c r="N41" s="43" t="e">
        <f t="shared" si="6"/>
        <v>#DIV/0!</v>
      </c>
    </row>
    <row r="42" spans="1:14" ht="15.75" thickBot="1" x14ac:dyDescent="0.3">
      <c r="A42" s="75"/>
      <c r="B42" s="76"/>
      <c r="C42" s="45"/>
      <c r="D42" s="46"/>
      <c r="E42" s="77"/>
      <c r="F42" s="78"/>
      <c r="G42" s="79"/>
      <c r="H42" s="80"/>
      <c r="J42" s="81"/>
      <c r="K42" s="82"/>
      <c r="L42"/>
      <c r="M42" s="83"/>
      <c r="N42" s="84"/>
    </row>
    <row r="43" spans="1:14" ht="15.75" thickBot="1" x14ac:dyDescent="0.3">
      <c r="A43" s="85"/>
      <c r="B43" s="86" t="s">
        <v>46</v>
      </c>
      <c r="C43" s="87">
        <f>SUM(C9:C41)</f>
        <v>165</v>
      </c>
      <c r="D43" s="88">
        <f>SUM(D9:D41)</f>
        <v>96</v>
      </c>
      <c r="E43" s="89">
        <f>SUM(E9:E40)</f>
        <v>260</v>
      </c>
      <c r="F43" s="93">
        <f>SUM(F9:F40)</f>
        <v>250</v>
      </c>
      <c r="G43" s="88">
        <f>SUM(G9:G42)</f>
        <v>12148.5</v>
      </c>
      <c r="H43" s="92">
        <f>SUM(H9:H42)</f>
        <v>594861536.5</v>
      </c>
      <c r="J43" s="94">
        <f>SUM(J9:J42)</f>
        <v>1361</v>
      </c>
      <c r="K43" s="95">
        <f>SUM(K9:K42)</f>
        <v>65899563.156069368</v>
      </c>
      <c r="L43"/>
      <c r="M43" s="96">
        <f>G43/J43</f>
        <v>8.926157237325496</v>
      </c>
      <c r="N43" s="97">
        <f>H43/K43</f>
        <v>9.0267902852587127</v>
      </c>
    </row>
    <row r="44" spans="1:14" x14ac:dyDescent="0.25">
      <c r="A44" s="60"/>
      <c r="B44" s="98"/>
      <c r="C44" s="62"/>
      <c r="D44" s="63"/>
      <c r="E44" s="64"/>
      <c r="F44" s="71"/>
      <c r="G44" s="63"/>
      <c r="H44" s="100"/>
      <c r="J44" s="67"/>
      <c r="K44" s="101"/>
      <c r="L44"/>
      <c r="M44" s="69"/>
      <c r="N44" s="70"/>
    </row>
    <row r="45" spans="1:14" x14ac:dyDescent="0.25">
      <c r="A45" s="32"/>
      <c r="B45" s="102"/>
      <c r="C45" s="34"/>
      <c r="D45" s="35"/>
      <c r="E45" s="36"/>
      <c r="F45" s="37"/>
      <c r="G45" s="63"/>
      <c r="H45" s="63"/>
      <c r="J45" s="40"/>
      <c r="K45" s="103"/>
      <c r="L45"/>
      <c r="M45" s="42"/>
      <c r="N45" s="104"/>
    </row>
    <row r="46" spans="1:14" x14ac:dyDescent="0.25">
      <c r="A46" s="32"/>
      <c r="B46" s="105"/>
      <c r="C46" s="34"/>
      <c r="D46" s="35"/>
      <c r="E46" s="36"/>
      <c r="F46" s="37"/>
      <c r="G46" s="63"/>
      <c r="H46" s="100"/>
      <c r="J46" s="67"/>
      <c r="K46" s="101"/>
      <c r="L46"/>
      <c r="M46" s="42"/>
      <c r="N46" s="104"/>
    </row>
    <row r="47" spans="1:14" x14ac:dyDescent="0.25">
      <c r="A47" s="32">
        <v>1</v>
      </c>
      <c r="B47" s="33" t="s">
        <v>47</v>
      </c>
      <c r="C47" s="34">
        <v>4</v>
      </c>
      <c r="D47" s="35">
        <v>3</v>
      </c>
      <c r="E47" s="36">
        <f t="shared" ref="E47:E52" si="7">C47+D47</f>
        <v>7</v>
      </c>
      <c r="F47" s="34">
        <v>7</v>
      </c>
      <c r="G47" s="35">
        <v>104.5</v>
      </c>
      <c r="H47" s="39">
        <v>5657914</v>
      </c>
      <c r="J47" s="106"/>
      <c r="K47" s="68"/>
      <c r="L47"/>
      <c r="M47" s="42" t="e">
        <f t="shared" ref="M47:N49" si="8">G47/J47</f>
        <v>#DIV/0!</v>
      </c>
      <c r="N47" s="43" t="e">
        <f t="shared" si="8"/>
        <v>#DIV/0!</v>
      </c>
    </row>
    <row r="48" spans="1:14" x14ac:dyDescent="0.25">
      <c r="A48" s="32">
        <v>2</v>
      </c>
      <c r="B48" s="33" t="s">
        <v>48</v>
      </c>
      <c r="C48" s="34">
        <v>8</v>
      </c>
      <c r="D48" s="35">
        <v>2</v>
      </c>
      <c r="E48" s="36">
        <f t="shared" si="7"/>
        <v>10</v>
      </c>
      <c r="F48" s="34">
        <v>7</v>
      </c>
      <c r="G48" s="35">
        <v>341.5</v>
      </c>
      <c r="H48" s="39">
        <v>19216992.5</v>
      </c>
      <c r="I48" s="48"/>
      <c r="J48" s="106"/>
      <c r="K48" s="107"/>
      <c r="L48" s="48"/>
      <c r="M48" s="42" t="e">
        <f t="shared" si="8"/>
        <v>#DIV/0!</v>
      </c>
      <c r="N48" s="43" t="e">
        <f t="shared" si="8"/>
        <v>#DIV/0!</v>
      </c>
    </row>
    <row r="49" spans="1:16" x14ac:dyDescent="0.25">
      <c r="A49" s="32">
        <v>3</v>
      </c>
      <c r="B49" s="33" t="s">
        <v>49</v>
      </c>
      <c r="C49" s="34">
        <v>12</v>
      </c>
      <c r="D49" s="35">
        <v>3</v>
      </c>
      <c r="E49" s="36">
        <f t="shared" si="7"/>
        <v>15</v>
      </c>
      <c r="F49" s="34">
        <v>14</v>
      </c>
      <c r="G49" s="108">
        <v>523</v>
      </c>
      <c r="H49" s="39">
        <v>29613330</v>
      </c>
      <c r="J49" s="106">
        <v>792</v>
      </c>
      <c r="K49" s="107">
        <v>40072688.219653182</v>
      </c>
      <c r="L49"/>
      <c r="M49" s="42">
        <f t="shared" si="8"/>
        <v>0.66035353535353536</v>
      </c>
      <c r="N49" s="43">
        <f t="shared" si="8"/>
        <v>0.73899035267308288</v>
      </c>
    </row>
    <row r="50" spans="1:16" x14ac:dyDescent="0.25">
      <c r="A50" s="32">
        <v>4</v>
      </c>
      <c r="B50" s="33" t="s">
        <v>50</v>
      </c>
      <c r="C50" s="34">
        <v>12</v>
      </c>
      <c r="D50" s="35">
        <v>4</v>
      </c>
      <c r="E50" s="36">
        <f t="shared" si="7"/>
        <v>16</v>
      </c>
      <c r="F50" s="34">
        <v>15</v>
      </c>
      <c r="G50" s="35">
        <v>495</v>
      </c>
      <c r="H50" s="39">
        <v>25299477</v>
      </c>
      <c r="J50" s="106"/>
      <c r="K50" s="68"/>
      <c r="L50"/>
      <c r="M50" s="109" t="e">
        <f>(G50+G51)/J50</f>
        <v>#DIV/0!</v>
      </c>
      <c r="N50" s="66" t="e">
        <f>(H50+H51)/K50</f>
        <v>#DIV/0!</v>
      </c>
      <c r="O50" s="110"/>
      <c r="P50" s="111"/>
    </row>
    <row r="51" spans="1:16" x14ac:dyDescent="0.25">
      <c r="A51" s="32">
        <v>5</v>
      </c>
      <c r="B51" s="33" t="s">
        <v>51</v>
      </c>
      <c r="C51" s="34">
        <v>20</v>
      </c>
      <c r="D51" s="35">
        <v>7</v>
      </c>
      <c r="E51" s="36">
        <f t="shared" si="7"/>
        <v>27</v>
      </c>
      <c r="F51" s="34">
        <v>23</v>
      </c>
      <c r="G51" s="35">
        <v>695.3</v>
      </c>
      <c r="H51" s="39">
        <v>35759313.600000001</v>
      </c>
      <c r="J51" s="112"/>
      <c r="K51" s="113"/>
      <c r="L51"/>
      <c r="M51" s="42"/>
      <c r="N51" s="43"/>
      <c r="O51" s="110"/>
      <c r="P51" s="111"/>
    </row>
    <row r="52" spans="1:16" x14ac:dyDescent="0.25">
      <c r="A52" s="32">
        <v>6</v>
      </c>
      <c r="B52" s="33" t="s">
        <v>52</v>
      </c>
      <c r="C52" s="34">
        <v>17</v>
      </c>
      <c r="D52" s="35">
        <v>2</v>
      </c>
      <c r="E52" s="36">
        <f t="shared" si="7"/>
        <v>19</v>
      </c>
      <c r="F52" s="34">
        <v>16</v>
      </c>
      <c r="G52" s="35">
        <v>914.5</v>
      </c>
      <c r="H52" s="39">
        <v>47686694</v>
      </c>
      <c r="J52" s="112">
        <v>14</v>
      </c>
      <c r="K52" s="113">
        <v>712131.28323699418</v>
      </c>
      <c r="L52"/>
      <c r="M52" s="42">
        <f>G52/J52</f>
        <v>65.321428571428569</v>
      </c>
      <c r="N52" s="43">
        <f>H52/K52</f>
        <v>66.963346678494503</v>
      </c>
    </row>
    <row r="53" spans="1:16" ht="15.75" thickBot="1" x14ac:dyDescent="0.3">
      <c r="A53" s="75"/>
      <c r="B53" s="76"/>
      <c r="C53" s="45"/>
      <c r="D53" s="46"/>
      <c r="E53" s="77"/>
      <c r="F53" s="78"/>
      <c r="G53" s="114"/>
      <c r="H53" s="80"/>
      <c r="J53" s="115"/>
      <c r="K53" s="116"/>
      <c r="L53"/>
      <c r="M53" s="83"/>
      <c r="N53" s="117"/>
    </row>
    <row r="54" spans="1:16" ht="15.75" thickBot="1" x14ac:dyDescent="0.3">
      <c r="A54" s="118"/>
      <c r="B54" s="119" t="s">
        <v>53</v>
      </c>
      <c r="C54" s="120">
        <f t="shared" ref="C54:H54" si="9">SUM(C47:C52)</f>
        <v>73</v>
      </c>
      <c r="D54" s="121">
        <f t="shared" si="9"/>
        <v>21</v>
      </c>
      <c r="E54" s="122">
        <f t="shared" si="9"/>
        <v>94</v>
      </c>
      <c r="F54" s="123">
        <f>SUM(F47:F53)</f>
        <v>82</v>
      </c>
      <c r="G54" s="126">
        <f t="shared" si="9"/>
        <v>3073.8</v>
      </c>
      <c r="H54" s="125">
        <f t="shared" si="9"/>
        <v>163233721.09999999</v>
      </c>
      <c r="J54" s="127">
        <f>SUM(J47:J53)</f>
        <v>806</v>
      </c>
      <c r="K54" s="127">
        <f>SUM(K47:K53)</f>
        <v>40784819.502890177</v>
      </c>
      <c r="L54"/>
      <c r="M54" s="128">
        <f>G54/J54</f>
        <v>3.8136476426799009</v>
      </c>
      <c r="N54" s="129">
        <f>H54/K54</f>
        <v>4.0023156431630795</v>
      </c>
      <c r="O54" s="130"/>
      <c r="P54" s="130"/>
    </row>
    <row r="55" spans="1:16" x14ac:dyDescent="0.25">
      <c r="A55" s="60"/>
      <c r="B55" s="98"/>
      <c r="C55" s="62"/>
      <c r="D55" s="63"/>
      <c r="E55" s="131"/>
      <c r="F55" s="71"/>
      <c r="G55" s="132"/>
      <c r="H55" s="132"/>
      <c r="J55" s="40"/>
      <c r="K55" s="103"/>
      <c r="L55"/>
      <c r="M55" s="69"/>
      <c r="N55" s="70"/>
    </row>
    <row r="56" spans="1:16" x14ac:dyDescent="0.25">
      <c r="A56" s="32"/>
      <c r="B56" s="102"/>
      <c r="C56" s="34"/>
      <c r="D56" s="35"/>
      <c r="E56" s="64"/>
      <c r="F56" s="37"/>
      <c r="G56" s="134"/>
      <c r="H56" s="39"/>
      <c r="J56" s="40"/>
      <c r="K56" s="103"/>
      <c r="L56"/>
      <c r="M56" s="42"/>
      <c r="N56" s="104"/>
    </row>
    <row r="57" spans="1:16" x14ac:dyDescent="0.25">
      <c r="A57" s="32"/>
      <c r="B57" s="105"/>
      <c r="C57" s="34"/>
      <c r="D57" s="35"/>
      <c r="E57" s="36"/>
      <c r="F57" s="34"/>
      <c r="G57" s="35"/>
      <c r="H57" s="39"/>
      <c r="J57" s="40"/>
      <c r="K57" s="103"/>
      <c r="L57"/>
      <c r="M57" s="42"/>
      <c r="N57" s="104"/>
    </row>
    <row r="58" spans="1:16" x14ac:dyDescent="0.25">
      <c r="A58" s="32">
        <v>1</v>
      </c>
      <c r="B58" s="33" t="s">
        <v>54</v>
      </c>
      <c r="C58" s="34">
        <v>2</v>
      </c>
      <c r="D58" s="35">
        <v>3</v>
      </c>
      <c r="E58" s="36">
        <f t="shared" ref="E58:E64" si="10">C58+D58</f>
        <v>5</v>
      </c>
      <c r="F58" s="34">
        <v>5</v>
      </c>
      <c r="G58" s="35">
        <v>334.5</v>
      </c>
      <c r="H58" s="39">
        <v>18525183</v>
      </c>
      <c r="I58" s="48"/>
      <c r="J58" s="135">
        <v>360</v>
      </c>
      <c r="K58" s="136">
        <v>14585784.156069364</v>
      </c>
      <c r="L58" s="48"/>
      <c r="M58" s="42">
        <f>G58/J58</f>
        <v>0.9291666666666667</v>
      </c>
      <c r="N58" s="43">
        <f t="shared" ref="M58:N64" si="11">H58/K58</f>
        <v>1.2700848169545544</v>
      </c>
    </row>
    <row r="59" spans="1:16" x14ac:dyDescent="0.25">
      <c r="A59" s="32">
        <f>A58+1</f>
        <v>2</v>
      </c>
      <c r="B59" s="44" t="s">
        <v>55</v>
      </c>
      <c r="C59" s="45">
        <v>2</v>
      </c>
      <c r="D59" s="46"/>
      <c r="E59" s="36">
        <f t="shared" si="10"/>
        <v>2</v>
      </c>
      <c r="F59" s="34">
        <v>1</v>
      </c>
      <c r="G59" s="35">
        <v>113.5</v>
      </c>
      <c r="H59" s="39">
        <v>6421844</v>
      </c>
      <c r="I59" s="48"/>
      <c r="J59" s="40"/>
      <c r="K59" s="103"/>
      <c r="L59" s="48"/>
      <c r="M59" s="42" t="e">
        <f t="shared" si="11"/>
        <v>#DIV/0!</v>
      </c>
      <c r="N59" s="43" t="e">
        <f t="shared" si="11"/>
        <v>#DIV/0!</v>
      </c>
    </row>
    <row r="60" spans="1:16" x14ac:dyDescent="0.25">
      <c r="A60" s="32">
        <f>A59+1</f>
        <v>3</v>
      </c>
      <c r="B60" s="33" t="s">
        <v>56</v>
      </c>
      <c r="C60" s="34">
        <v>7</v>
      </c>
      <c r="D60" s="35"/>
      <c r="E60" s="36">
        <f t="shared" si="10"/>
        <v>7</v>
      </c>
      <c r="F60" s="34">
        <v>2</v>
      </c>
      <c r="G60" s="35">
        <v>175</v>
      </c>
      <c r="H60" s="39">
        <v>10041663.5</v>
      </c>
      <c r="I60" s="48"/>
      <c r="J60" s="40"/>
      <c r="K60" s="103"/>
      <c r="L60" s="48"/>
      <c r="M60" s="42" t="e">
        <f t="shared" si="11"/>
        <v>#DIV/0!</v>
      </c>
      <c r="N60" s="43" t="e">
        <f t="shared" si="11"/>
        <v>#DIV/0!</v>
      </c>
    </row>
    <row r="61" spans="1:16" x14ac:dyDescent="0.25">
      <c r="A61" s="32">
        <f>A60+1</f>
        <v>4</v>
      </c>
      <c r="B61" s="33" t="s">
        <v>57</v>
      </c>
      <c r="C61" s="34">
        <v>9</v>
      </c>
      <c r="D61" s="35">
        <v>6</v>
      </c>
      <c r="E61" s="36">
        <f t="shared" si="10"/>
        <v>15</v>
      </c>
      <c r="F61" s="34">
        <v>15</v>
      </c>
      <c r="G61" s="35">
        <v>745</v>
      </c>
      <c r="H61" s="39">
        <v>37795383</v>
      </c>
      <c r="J61" s="40">
        <v>1122</v>
      </c>
      <c r="K61" s="103">
        <v>46984079.609826595</v>
      </c>
      <c r="L61"/>
      <c r="M61" s="42">
        <f t="shared" si="11"/>
        <v>0.66399286987522277</v>
      </c>
      <c r="N61" s="43">
        <f t="shared" si="11"/>
        <v>0.80442957090714606</v>
      </c>
    </row>
    <row r="62" spans="1:16" x14ac:dyDescent="0.25">
      <c r="A62" s="32">
        <f>A61+1</f>
        <v>5</v>
      </c>
      <c r="B62" s="33" t="s">
        <v>58</v>
      </c>
      <c r="C62" s="34">
        <v>2</v>
      </c>
      <c r="D62" s="35"/>
      <c r="E62" s="36">
        <f t="shared" si="10"/>
        <v>2</v>
      </c>
      <c r="F62" s="34"/>
      <c r="G62" s="35"/>
      <c r="H62" s="39"/>
      <c r="I62" s="48"/>
      <c r="J62" s="40"/>
      <c r="K62" s="41"/>
      <c r="L62" s="48"/>
      <c r="M62" s="42" t="e">
        <f t="shared" si="11"/>
        <v>#DIV/0!</v>
      </c>
      <c r="N62" s="43" t="e">
        <f t="shared" si="11"/>
        <v>#DIV/0!</v>
      </c>
    </row>
    <row r="63" spans="1:16" x14ac:dyDescent="0.25">
      <c r="A63" s="75">
        <f>A62+1</f>
        <v>6</v>
      </c>
      <c r="B63" s="44" t="s">
        <v>59</v>
      </c>
      <c r="C63" s="45">
        <v>1</v>
      </c>
      <c r="D63" s="46"/>
      <c r="E63" s="36">
        <f t="shared" si="10"/>
        <v>1</v>
      </c>
      <c r="F63" s="34"/>
      <c r="G63" s="35"/>
      <c r="H63" s="39"/>
      <c r="I63" s="48"/>
      <c r="J63" s="137">
        <v>12</v>
      </c>
      <c r="K63" s="55">
        <v>485318.73410404625</v>
      </c>
      <c r="L63" s="48"/>
      <c r="M63" s="42">
        <f t="shared" si="11"/>
        <v>0</v>
      </c>
      <c r="N63" s="43">
        <f t="shared" si="11"/>
        <v>0</v>
      </c>
    </row>
    <row r="64" spans="1:16" x14ac:dyDescent="0.25">
      <c r="A64" s="32">
        <v>7</v>
      </c>
      <c r="B64" s="33" t="s">
        <v>60</v>
      </c>
      <c r="C64" s="34">
        <v>3</v>
      </c>
      <c r="D64" s="35">
        <v>1</v>
      </c>
      <c r="E64" s="36">
        <f t="shared" si="10"/>
        <v>4</v>
      </c>
      <c r="F64" s="34">
        <v>4</v>
      </c>
      <c r="G64" s="35">
        <v>52.5</v>
      </c>
      <c r="H64" s="39">
        <v>2872187.5</v>
      </c>
      <c r="J64" s="138"/>
      <c r="K64" s="139"/>
      <c r="L64"/>
      <c r="M64" s="42" t="e">
        <f t="shared" si="11"/>
        <v>#DIV/0!</v>
      </c>
      <c r="N64" s="43" t="e">
        <f t="shared" si="11"/>
        <v>#DIV/0!</v>
      </c>
    </row>
    <row r="65" spans="1:14" ht="15.75" thickBot="1" x14ac:dyDescent="0.3">
      <c r="A65" s="32"/>
      <c r="B65" s="33"/>
      <c r="C65" s="34"/>
      <c r="D65" s="35"/>
      <c r="E65" s="36"/>
      <c r="F65" s="34"/>
      <c r="G65" s="35"/>
      <c r="H65" s="39"/>
      <c r="J65" s="138"/>
      <c r="K65" s="139"/>
      <c r="L65"/>
      <c r="M65" s="42"/>
      <c r="N65" s="43"/>
    </row>
    <row r="66" spans="1:14" ht="15.75" thickBot="1" x14ac:dyDescent="0.3">
      <c r="A66" s="140"/>
      <c r="B66" s="141" t="s">
        <v>61</v>
      </c>
      <c r="C66" s="142">
        <f t="shared" ref="C66:K66" si="12">SUM(C58:C64)</f>
        <v>26</v>
      </c>
      <c r="D66" s="143">
        <f t="shared" si="12"/>
        <v>10</v>
      </c>
      <c r="E66" s="143">
        <f t="shared" si="12"/>
        <v>36</v>
      </c>
      <c r="F66" s="147">
        <f t="shared" si="12"/>
        <v>27</v>
      </c>
      <c r="G66" s="255">
        <f t="shared" si="12"/>
        <v>1420.5</v>
      </c>
      <c r="H66" s="147">
        <f t="shared" si="12"/>
        <v>75656261</v>
      </c>
      <c r="I66" s="148">
        <f t="shared" si="12"/>
        <v>0</v>
      </c>
      <c r="J66" s="147">
        <f t="shared" si="12"/>
        <v>1494</v>
      </c>
      <c r="K66" s="147">
        <f t="shared" si="12"/>
        <v>62055182.500000007</v>
      </c>
      <c r="L66"/>
      <c r="M66" s="149">
        <f>G66/J66</f>
        <v>0.95080321285140568</v>
      </c>
      <c r="N66" s="150">
        <f>H66/K66</f>
        <v>1.2191771573631258</v>
      </c>
    </row>
    <row r="67" spans="1:14" x14ac:dyDescent="0.25">
      <c r="A67" s="60"/>
      <c r="B67" s="98"/>
      <c r="C67" s="62"/>
      <c r="D67" s="63"/>
      <c r="E67" s="64"/>
      <c r="F67" s="71"/>
      <c r="G67" s="132"/>
      <c r="H67" s="100"/>
      <c r="J67" s="40"/>
      <c r="K67" s="103"/>
      <c r="L67"/>
      <c r="M67" s="69"/>
      <c r="N67" s="70"/>
    </row>
    <row r="68" spans="1:14" x14ac:dyDescent="0.25">
      <c r="A68" s="32"/>
      <c r="B68" s="102"/>
      <c r="C68" s="34"/>
      <c r="D68" s="35"/>
      <c r="E68" s="36"/>
      <c r="F68" s="37"/>
      <c r="G68" s="134"/>
      <c r="H68" s="39"/>
      <c r="J68" s="40"/>
      <c r="K68" s="103"/>
      <c r="L68"/>
      <c r="M68" s="42"/>
      <c r="N68" s="104"/>
    </row>
    <row r="69" spans="1:14" x14ac:dyDescent="0.25">
      <c r="A69" s="32"/>
      <c r="B69" s="105"/>
      <c r="C69" s="34"/>
      <c r="D69" s="35"/>
      <c r="E69" s="36"/>
      <c r="F69" s="37"/>
      <c r="G69" s="134"/>
      <c r="H69" s="39"/>
      <c r="J69" s="40"/>
      <c r="K69" s="103"/>
      <c r="L69"/>
      <c r="M69" s="42"/>
      <c r="N69" s="104"/>
    </row>
    <row r="70" spans="1:14" x14ac:dyDescent="0.25">
      <c r="A70" s="32">
        <v>1</v>
      </c>
      <c r="B70" s="33" t="s">
        <v>62</v>
      </c>
      <c r="C70" s="34">
        <v>6</v>
      </c>
      <c r="D70" s="35"/>
      <c r="E70" s="36">
        <f t="shared" ref="E70:E75" si="13">C70+D70</f>
        <v>6</v>
      </c>
      <c r="F70" s="34">
        <v>3</v>
      </c>
      <c r="G70" s="35">
        <v>13</v>
      </c>
      <c r="H70" s="39">
        <v>717157.5</v>
      </c>
      <c r="J70" s="112"/>
      <c r="K70" s="113"/>
      <c r="L70"/>
      <c r="M70" s="42" t="e">
        <f t="shared" ref="M70:N74" si="14">G70/J70</f>
        <v>#DIV/0!</v>
      </c>
      <c r="N70" s="43" t="e">
        <f t="shared" si="14"/>
        <v>#DIV/0!</v>
      </c>
    </row>
    <row r="71" spans="1:14" x14ac:dyDescent="0.25">
      <c r="A71" s="32">
        <f>A70+1</f>
        <v>2</v>
      </c>
      <c r="B71" s="33" t="s">
        <v>63</v>
      </c>
      <c r="C71" s="34">
        <v>3</v>
      </c>
      <c r="D71" s="35"/>
      <c r="E71" s="36">
        <f t="shared" si="13"/>
        <v>3</v>
      </c>
      <c r="F71" s="34">
        <v>2</v>
      </c>
      <c r="G71" s="35">
        <v>17</v>
      </c>
      <c r="H71" s="39">
        <v>988697</v>
      </c>
      <c r="J71" s="112"/>
      <c r="K71" s="113"/>
      <c r="L71"/>
      <c r="M71" s="42" t="e">
        <f t="shared" si="14"/>
        <v>#DIV/0!</v>
      </c>
      <c r="N71" s="43" t="e">
        <f t="shared" si="14"/>
        <v>#DIV/0!</v>
      </c>
    </row>
    <row r="72" spans="1:14" x14ac:dyDescent="0.25">
      <c r="A72" s="32">
        <f>A71+1</f>
        <v>3</v>
      </c>
      <c r="B72" s="33" t="s">
        <v>64</v>
      </c>
      <c r="C72" s="34">
        <v>2</v>
      </c>
      <c r="D72" s="35">
        <v>1</v>
      </c>
      <c r="E72" s="36">
        <f t="shared" si="13"/>
        <v>3</v>
      </c>
      <c r="F72" s="34">
        <v>1</v>
      </c>
      <c r="G72" s="35">
        <v>7</v>
      </c>
      <c r="H72" s="39">
        <v>275219</v>
      </c>
      <c r="J72" s="112"/>
      <c r="K72" s="113"/>
      <c r="L72"/>
      <c r="M72" s="42" t="e">
        <f t="shared" si="14"/>
        <v>#DIV/0!</v>
      </c>
      <c r="N72" s="43" t="e">
        <f t="shared" si="14"/>
        <v>#DIV/0!</v>
      </c>
    </row>
    <row r="73" spans="1:14" x14ac:dyDescent="0.25">
      <c r="A73" s="32">
        <f>A72+1</f>
        <v>4</v>
      </c>
      <c r="B73" s="33" t="s">
        <v>65</v>
      </c>
      <c r="C73" s="34">
        <v>6</v>
      </c>
      <c r="D73" s="35">
        <v>4</v>
      </c>
      <c r="E73" s="36">
        <f t="shared" si="13"/>
        <v>10</v>
      </c>
      <c r="F73" s="34">
        <v>2</v>
      </c>
      <c r="G73" s="35">
        <v>14</v>
      </c>
      <c r="H73" s="39">
        <v>730023</v>
      </c>
      <c r="J73" s="112">
        <v>21</v>
      </c>
      <c r="K73" s="113">
        <v>1062045.5028901733</v>
      </c>
      <c r="L73"/>
      <c r="M73" s="42">
        <f t="shared" si="14"/>
        <v>0.66666666666666663</v>
      </c>
      <c r="N73" s="43">
        <f t="shared" si="14"/>
        <v>0.68737450327068716</v>
      </c>
    </row>
    <row r="74" spans="1:14" x14ac:dyDescent="0.25">
      <c r="A74" s="32">
        <f>A73+1</f>
        <v>5</v>
      </c>
      <c r="B74" s="33" t="s">
        <v>66</v>
      </c>
      <c r="C74" s="34">
        <v>2</v>
      </c>
      <c r="D74" s="35"/>
      <c r="E74" s="36">
        <f t="shared" si="13"/>
        <v>2</v>
      </c>
      <c r="F74" s="34"/>
      <c r="G74" s="35"/>
      <c r="H74" s="39"/>
      <c r="I74" s="48"/>
      <c r="J74" s="40"/>
      <c r="K74" s="103"/>
      <c r="L74" s="48"/>
      <c r="M74" s="42" t="e">
        <f t="shared" si="14"/>
        <v>#DIV/0!</v>
      </c>
      <c r="N74" s="43" t="e">
        <f t="shared" si="14"/>
        <v>#DIV/0!</v>
      </c>
    </row>
    <row r="75" spans="1:14" x14ac:dyDescent="0.25">
      <c r="A75" s="32">
        <f>A74+1</f>
        <v>6</v>
      </c>
      <c r="B75" s="33" t="s">
        <v>67</v>
      </c>
      <c r="C75" s="34">
        <v>8</v>
      </c>
      <c r="D75" s="35">
        <v>2</v>
      </c>
      <c r="E75" s="36">
        <f t="shared" si="13"/>
        <v>10</v>
      </c>
      <c r="F75" s="34"/>
      <c r="G75" s="35"/>
      <c r="H75" s="39"/>
      <c r="J75" s="135">
        <v>330</v>
      </c>
      <c r="K75" s="136">
        <v>13341525.699421965</v>
      </c>
      <c r="L75"/>
      <c r="M75" s="65">
        <f>(G76+G77)/J75</f>
        <v>0.33636363636363636</v>
      </c>
      <c r="N75" s="66">
        <f>(H76+H77)/K75</f>
        <v>0.45012565543835731</v>
      </c>
    </row>
    <row r="76" spans="1:14" s="48" customFormat="1" x14ac:dyDescent="0.25">
      <c r="A76" s="51"/>
      <c r="B76" s="57" t="s">
        <v>68</v>
      </c>
      <c r="C76" s="53"/>
      <c r="D76" s="54"/>
      <c r="E76" s="55"/>
      <c r="F76" s="53"/>
      <c r="G76" s="54"/>
      <c r="H76" s="56"/>
      <c r="J76" s="40"/>
      <c r="K76" s="103"/>
      <c r="M76" s="49" t="e">
        <f>(G76+G77)/J76</f>
        <v>#DIV/0!</v>
      </c>
      <c r="N76" s="50" t="e">
        <f>(H76+H77)/K76</f>
        <v>#DIV/0!</v>
      </c>
    </row>
    <row r="77" spans="1:14" x14ac:dyDescent="0.25">
      <c r="A77" s="32"/>
      <c r="B77" s="57" t="s">
        <v>69</v>
      </c>
      <c r="C77" s="34"/>
      <c r="D77" s="35"/>
      <c r="E77" s="36"/>
      <c r="F77" s="34">
        <v>7</v>
      </c>
      <c r="G77" s="35">
        <v>111</v>
      </c>
      <c r="H77" s="39">
        <v>6005363</v>
      </c>
      <c r="J77" s="40"/>
      <c r="K77" s="103"/>
      <c r="L77"/>
      <c r="M77" s="42"/>
      <c r="N77" s="43"/>
    </row>
    <row r="78" spans="1:14" x14ac:dyDescent="0.25">
      <c r="A78" s="32">
        <v>7</v>
      </c>
      <c r="B78" s="33" t="s">
        <v>70</v>
      </c>
      <c r="C78" s="34"/>
      <c r="D78" s="35"/>
      <c r="E78" s="36">
        <f>C78+D78</f>
        <v>0</v>
      </c>
      <c r="F78" s="34"/>
      <c r="G78" s="35"/>
      <c r="H78" s="39"/>
      <c r="J78" s="40"/>
      <c r="K78" s="103"/>
      <c r="L78"/>
      <c r="M78" s="109" t="e">
        <f>(G78+G82)/J78</f>
        <v>#DIV/0!</v>
      </c>
      <c r="N78" s="66" t="e">
        <f>(H78+H82)/K78</f>
        <v>#DIV/0!</v>
      </c>
    </row>
    <row r="79" spans="1:14" x14ac:dyDescent="0.25">
      <c r="A79" s="32">
        <f>A78+1</f>
        <v>8</v>
      </c>
      <c r="B79" s="33" t="s">
        <v>71</v>
      </c>
      <c r="C79" s="34">
        <v>3</v>
      </c>
      <c r="D79" s="35"/>
      <c r="E79" s="36">
        <f>C79+D79</f>
        <v>3</v>
      </c>
      <c r="F79" s="34"/>
      <c r="G79" s="35"/>
      <c r="H79" s="39"/>
      <c r="J79" s="112"/>
      <c r="K79" s="113"/>
      <c r="L79"/>
      <c r="M79" s="42" t="e">
        <f>G79/J79</f>
        <v>#DIV/0!</v>
      </c>
      <c r="N79" s="43" t="e">
        <f>H79/K79</f>
        <v>#DIV/0!</v>
      </c>
    </row>
    <row r="80" spans="1:14" x14ac:dyDescent="0.25">
      <c r="A80" s="32">
        <f>A79+1</f>
        <v>9</v>
      </c>
      <c r="B80" s="33" t="s">
        <v>72</v>
      </c>
      <c r="C80" s="34">
        <v>3</v>
      </c>
      <c r="D80" s="35">
        <v>2</v>
      </c>
      <c r="E80" s="36">
        <f>C80+D80</f>
        <v>5</v>
      </c>
      <c r="F80" s="34">
        <v>5</v>
      </c>
      <c r="G80" s="35">
        <v>63</v>
      </c>
      <c r="H80" s="39">
        <v>3332315</v>
      </c>
      <c r="J80" s="112">
        <v>35</v>
      </c>
      <c r="K80" s="113">
        <v>1745620.1849710983</v>
      </c>
      <c r="L80"/>
      <c r="M80" s="153">
        <f>(G79+G80)/J80</f>
        <v>1.8</v>
      </c>
      <c r="N80" s="50">
        <f>(H79+H80)/K80</f>
        <v>1.9089576465084082</v>
      </c>
    </row>
    <row r="81" spans="1:32" s="48" customFormat="1" x14ac:dyDescent="0.25">
      <c r="A81" s="51">
        <f>A80+1</f>
        <v>10</v>
      </c>
      <c r="B81" s="154" t="s">
        <v>73</v>
      </c>
      <c r="C81" s="53">
        <v>6</v>
      </c>
      <c r="D81" s="54">
        <v>1</v>
      </c>
      <c r="E81" s="55">
        <f>C81+D81</f>
        <v>7</v>
      </c>
      <c r="F81" s="53"/>
      <c r="G81" s="54"/>
      <c r="H81" s="56"/>
      <c r="J81" s="112">
        <v>528</v>
      </c>
      <c r="K81" s="113">
        <v>20198726.289017342</v>
      </c>
      <c r="M81" s="155">
        <f>(G82+G83)/J81</f>
        <v>0.46590909090909088</v>
      </c>
      <c r="N81" s="66">
        <f>(H82+H83)/K81</f>
        <v>0.60614859198607596</v>
      </c>
    </row>
    <row r="82" spans="1:32" s="48" customFormat="1" x14ac:dyDescent="0.25">
      <c r="A82" s="51"/>
      <c r="B82" s="154" t="s">
        <v>74</v>
      </c>
      <c r="C82" s="53"/>
      <c r="D82" s="54"/>
      <c r="E82" s="55">
        <f>C82+D82</f>
        <v>0</v>
      </c>
      <c r="F82" s="53">
        <v>6</v>
      </c>
      <c r="G82" s="54">
        <v>246</v>
      </c>
      <c r="H82" s="56">
        <v>12243429.5</v>
      </c>
      <c r="J82" s="112"/>
      <c r="K82" s="113"/>
      <c r="M82" s="109"/>
      <c r="N82" s="66"/>
    </row>
    <row r="83" spans="1:32" s="48" customFormat="1" x14ac:dyDescent="0.25">
      <c r="A83" s="51"/>
      <c r="B83" s="156" t="s">
        <v>75</v>
      </c>
      <c r="C83" s="157"/>
      <c r="D83" s="158"/>
      <c r="E83" s="55"/>
      <c r="F83" s="53"/>
      <c r="G83" s="54"/>
      <c r="H83" s="56"/>
      <c r="J83" s="112"/>
      <c r="K83" s="113"/>
      <c r="M83" s="109"/>
      <c r="N83" s="66"/>
    </row>
    <row r="84" spans="1:32" x14ac:dyDescent="0.25">
      <c r="A84" s="32">
        <f>A81+1</f>
        <v>11</v>
      </c>
      <c r="B84" s="33" t="s">
        <v>76</v>
      </c>
      <c r="C84" s="53"/>
      <c r="D84" s="54"/>
      <c r="E84" s="36">
        <f>C84+D84</f>
        <v>0</v>
      </c>
      <c r="F84" s="34"/>
      <c r="G84" s="35"/>
      <c r="H84" s="39"/>
      <c r="J84" s="112"/>
      <c r="K84" s="113"/>
      <c r="L84"/>
      <c r="M84" s="42" t="e">
        <f>G84/J84</f>
        <v>#DIV/0!</v>
      </c>
      <c r="N84" s="43" t="e">
        <f>H84/K84</f>
        <v>#DIV/0!</v>
      </c>
    </row>
    <row r="85" spans="1:32" ht="15.75" thickBot="1" x14ac:dyDescent="0.3">
      <c r="A85" s="159"/>
      <c r="B85" s="76"/>
      <c r="C85" s="45"/>
      <c r="D85" s="46"/>
      <c r="E85" s="77"/>
      <c r="F85" s="78"/>
      <c r="G85" s="114"/>
      <c r="H85" s="80"/>
      <c r="J85" s="137"/>
      <c r="K85" s="116"/>
      <c r="L85"/>
      <c r="M85" s="83"/>
      <c r="N85" s="117"/>
    </row>
    <row r="86" spans="1:32" ht="15.75" thickBot="1" x14ac:dyDescent="0.3">
      <c r="A86" s="160"/>
      <c r="B86" s="161" t="s">
        <v>77</v>
      </c>
      <c r="C86" s="162">
        <f t="shared" ref="C86:H86" si="15">SUM(C69:C84)</f>
        <v>39</v>
      </c>
      <c r="D86" s="163">
        <f t="shared" si="15"/>
        <v>10</v>
      </c>
      <c r="E86" s="164">
        <f t="shared" si="15"/>
        <v>49</v>
      </c>
      <c r="F86" s="165">
        <f t="shared" si="15"/>
        <v>26</v>
      </c>
      <c r="G86" s="168">
        <f t="shared" si="15"/>
        <v>471</v>
      </c>
      <c r="H86" s="167">
        <f t="shared" si="15"/>
        <v>24292204</v>
      </c>
      <c r="J86" s="169">
        <f>SUM(J69:J85)</f>
        <v>914</v>
      </c>
      <c r="K86" s="170">
        <f>SUM(K69:K85)</f>
        <v>36347917.676300578</v>
      </c>
      <c r="L86"/>
      <c r="M86" s="171">
        <f>G86/J86</f>
        <v>0.51531728665207877</v>
      </c>
      <c r="N86" s="172">
        <f>H86/K86</f>
        <v>0.66832450255709985</v>
      </c>
    </row>
    <row r="87" spans="1:32" x14ac:dyDescent="0.25">
      <c r="A87" s="173"/>
      <c r="B87" s="98"/>
      <c r="C87" s="62"/>
      <c r="D87" s="63"/>
      <c r="E87" s="100"/>
      <c r="F87" s="99"/>
      <c r="G87" s="132"/>
      <c r="H87" s="174"/>
      <c r="J87" s="175"/>
      <c r="K87" s="176"/>
      <c r="L87"/>
      <c r="M87" s="177"/>
      <c r="N87" s="178"/>
    </row>
    <row r="88" spans="1:32" x14ac:dyDescent="0.25">
      <c r="A88" s="179"/>
      <c r="B88" s="102"/>
      <c r="C88" s="180"/>
      <c r="D88" s="181"/>
      <c r="E88" s="182"/>
      <c r="F88" s="151"/>
      <c r="G88" s="183"/>
      <c r="H88" s="184"/>
      <c r="J88" s="99"/>
      <c r="K88" s="174"/>
      <c r="L88"/>
      <c r="M88" s="177"/>
      <c r="N88" s="178"/>
    </row>
    <row r="89" spans="1:32" x14ac:dyDescent="0.25">
      <c r="A89" s="179"/>
      <c r="B89" s="185"/>
      <c r="C89" s="34"/>
      <c r="D89" s="35"/>
      <c r="E89" s="39"/>
      <c r="F89" s="133"/>
      <c r="G89" s="134"/>
      <c r="H89" s="152"/>
      <c r="J89" s="186"/>
      <c r="K89" s="152"/>
      <c r="L89"/>
      <c r="M89" s="42"/>
      <c r="N89" s="43"/>
    </row>
    <row r="90" spans="1:32" ht="15.75" thickBot="1" x14ac:dyDescent="0.3">
      <c r="A90" s="187"/>
      <c r="B90" s="188"/>
      <c r="C90" s="189"/>
      <c r="D90" s="190"/>
      <c r="E90" s="191"/>
      <c r="F90" s="192"/>
      <c r="G90" s="193"/>
      <c r="H90" s="191"/>
      <c r="J90" s="194"/>
      <c r="K90" s="195"/>
      <c r="L90"/>
      <c r="M90" s="196"/>
      <c r="N90" s="197"/>
    </row>
    <row r="91" spans="1:32" ht="15.75" thickBot="1" x14ac:dyDescent="0.3">
      <c r="A91" s="198"/>
      <c r="B91" s="199" t="s">
        <v>78</v>
      </c>
      <c r="C91" s="200">
        <f t="shared" ref="C91:G91" si="16">C86+C66+C54+C43</f>
        <v>303</v>
      </c>
      <c r="D91" s="200">
        <f t="shared" si="16"/>
        <v>137</v>
      </c>
      <c r="E91" s="200">
        <f t="shared" si="16"/>
        <v>439</v>
      </c>
      <c r="F91" s="200">
        <f>F86+F66+F54+F43</f>
        <v>385</v>
      </c>
      <c r="G91" s="201">
        <f t="shared" si="16"/>
        <v>17113.8</v>
      </c>
      <c r="H91" s="200">
        <f>H86+H66+H54+H43</f>
        <v>858043722.60000002</v>
      </c>
      <c r="J91" s="200">
        <f>J86+J66+J54+J43</f>
        <v>4575</v>
      </c>
      <c r="K91" s="200">
        <f>K86+K66+K54+K43</f>
        <v>205087482.83526012</v>
      </c>
      <c r="L91"/>
      <c r="M91" s="202">
        <f>G91/J91</f>
        <v>3.7407213114754096</v>
      </c>
      <c r="N91" s="203">
        <f>H91/K91</f>
        <v>4.1837937193331181</v>
      </c>
    </row>
    <row r="92" spans="1:32" x14ac:dyDescent="0.25">
      <c r="G92" s="204"/>
      <c r="H92" s="204"/>
      <c r="J92" s="110"/>
      <c r="K92" s="111"/>
      <c r="M92" s="205"/>
      <c r="N92" s="206"/>
      <c r="P92" s="110"/>
      <c r="Q92" s="111"/>
      <c r="S92" s="110"/>
      <c r="T92" s="111"/>
      <c r="V92" s="110"/>
      <c r="W92" s="111"/>
      <c r="Y92" s="111"/>
      <c r="Z92" s="111"/>
      <c r="AB92" s="110"/>
      <c r="AC92" s="110"/>
      <c r="AE92" s="207"/>
      <c r="AF92" s="207"/>
    </row>
    <row r="93" spans="1:32" x14ac:dyDescent="0.25">
      <c r="C93" s="208"/>
      <c r="D93" s="209"/>
      <c r="E93" s="209"/>
      <c r="G93" s="204"/>
      <c r="H93" s="204"/>
      <c r="J93" s="204"/>
      <c r="K93" s="204"/>
      <c r="M93" s="204"/>
      <c r="N93" s="204"/>
      <c r="P93" s="204"/>
      <c r="Q93" s="110"/>
      <c r="S93" s="204"/>
      <c r="T93" s="110"/>
      <c r="V93" s="110"/>
      <c r="W93" s="110"/>
      <c r="Y93" s="110"/>
      <c r="Z93" s="110"/>
      <c r="AB93" s="110"/>
      <c r="AC93" s="110"/>
      <c r="AE93" s="207"/>
      <c r="AF93" s="207"/>
    </row>
    <row r="94" spans="1:32" ht="15.75" thickBot="1" x14ac:dyDescent="0.3">
      <c r="B94" s="210"/>
      <c r="C94" s="208"/>
      <c r="D94" s="209"/>
      <c r="E94" s="209"/>
      <c r="F94" s="211"/>
      <c r="G94" s="209"/>
      <c r="H94" s="209"/>
      <c r="K94" s="110"/>
      <c r="X94" s="111"/>
      <c r="Y94" s="111"/>
      <c r="Z94" s="111"/>
      <c r="AE94" s="207"/>
      <c r="AF94" s="207"/>
    </row>
    <row r="95" spans="1:32" ht="30.75" thickBot="1" x14ac:dyDescent="0.3">
      <c r="B95" s="210"/>
      <c r="C95" s="212" t="s">
        <v>79</v>
      </c>
      <c r="D95" s="213"/>
      <c r="E95" s="213"/>
      <c r="F95" s="243"/>
      <c r="G95" s="214" t="s">
        <v>80</v>
      </c>
      <c r="H95" s="215" t="s">
        <v>81</v>
      </c>
      <c r="J95" s="330" t="str">
        <f>J5</f>
        <v>BUDGET JUNI</v>
      </c>
      <c r="K95" s="331"/>
      <c r="L95"/>
      <c r="M95" s="332" t="s">
        <v>5</v>
      </c>
      <c r="N95" s="333"/>
    </row>
    <row r="96" spans="1:32" x14ac:dyDescent="0.25">
      <c r="B96" s="209"/>
      <c r="C96" s="216" t="s">
        <v>82</v>
      </c>
      <c r="D96" s="217"/>
      <c r="E96" s="217"/>
      <c r="F96" s="244"/>
      <c r="G96" s="218">
        <f>G43+G54</f>
        <v>15222.3</v>
      </c>
      <c r="H96" s="218">
        <f>H43+H54</f>
        <v>758095257.60000002</v>
      </c>
      <c r="J96" s="219">
        <f>J43+J54</f>
        <v>2167</v>
      </c>
      <c r="K96" s="219">
        <f>K43+K54</f>
        <v>106684382.65895954</v>
      </c>
      <c r="L96"/>
      <c r="M96" s="220">
        <f t="shared" ref="M96:N99" si="17">G96/J96</f>
        <v>7.0245962159667741</v>
      </c>
      <c r="N96" s="221">
        <f t="shared" si="17"/>
        <v>7.10596282891209</v>
      </c>
    </row>
    <row r="97" spans="2:14" x14ac:dyDescent="0.25">
      <c r="B97" s="209"/>
      <c r="C97" s="216" t="s">
        <v>83</v>
      </c>
      <c r="D97" s="217"/>
      <c r="E97" s="217"/>
      <c r="F97" s="244"/>
      <c r="G97" s="222">
        <f>G66</f>
        <v>1420.5</v>
      </c>
      <c r="H97" s="223">
        <f>H66</f>
        <v>75656261</v>
      </c>
      <c r="J97" s="224">
        <f>J66</f>
        <v>1494</v>
      </c>
      <c r="K97" s="224">
        <f>K66</f>
        <v>62055182.500000007</v>
      </c>
      <c r="L97"/>
      <c r="M97" s="225">
        <f t="shared" si="17"/>
        <v>0.95080321285140568</v>
      </c>
      <c r="N97" s="226">
        <f t="shared" si="17"/>
        <v>1.2191771573631258</v>
      </c>
    </row>
    <row r="98" spans="2:14" ht="15.75" thickBot="1" x14ac:dyDescent="0.3">
      <c r="B98" s="209"/>
      <c r="C98" s="216" t="s">
        <v>84</v>
      </c>
      <c r="D98" s="217"/>
      <c r="E98" s="217"/>
      <c r="F98" s="244"/>
      <c r="G98" s="227">
        <f>G86</f>
        <v>471</v>
      </c>
      <c r="H98" s="228">
        <f>H86</f>
        <v>24292204</v>
      </c>
      <c r="J98" s="229">
        <f>J86</f>
        <v>914</v>
      </c>
      <c r="K98" s="230">
        <f>K86</f>
        <v>36347917.676300578</v>
      </c>
      <c r="L98"/>
      <c r="M98" s="231">
        <f t="shared" si="17"/>
        <v>0.51531728665207877</v>
      </c>
      <c r="N98" s="232">
        <f t="shared" si="17"/>
        <v>0.66832450255709985</v>
      </c>
    </row>
    <row r="99" spans="2:14" ht="15.75" thickBot="1" x14ac:dyDescent="0.3">
      <c r="C99" s="233" t="s">
        <v>78</v>
      </c>
      <c r="D99" s="234"/>
      <c r="E99" s="234"/>
      <c r="F99" s="245"/>
      <c r="G99" s="235">
        <f>SUM(G96:G98)</f>
        <v>17113.8</v>
      </c>
      <c r="H99" s="236">
        <f>SUM(H96:H98)</f>
        <v>858043722.60000002</v>
      </c>
      <c r="J99" s="237">
        <f>SUM(J96:J98)</f>
        <v>4575</v>
      </c>
      <c r="K99" s="238">
        <f>SUM(K96:K98)</f>
        <v>205087482.83526012</v>
      </c>
      <c r="L99"/>
      <c r="M99" s="239">
        <f t="shared" si="17"/>
        <v>3.7407213114754096</v>
      </c>
      <c r="N99" s="240">
        <f t="shared" si="17"/>
        <v>4.1837937193331181</v>
      </c>
    </row>
    <row r="101" spans="2:14" x14ac:dyDescent="0.25">
      <c r="B101" s="47"/>
    </row>
    <row r="102" spans="2:14" x14ac:dyDescent="0.25">
      <c r="B102" s="47"/>
    </row>
    <row r="103" spans="2:14" x14ac:dyDescent="0.25">
      <c r="B103" s="47"/>
    </row>
    <row r="104" spans="2:14" x14ac:dyDescent="0.25">
      <c r="B104" s="47"/>
    </row>
  </sheetData>
  <mergeCells count="7">
    <mergeCell ref="J95:K95"/>
    <mergeCell ref="M95:N95"/>
    <mergeCell ref="C5:E6"/>
    <mergeCell ref="F5:H5"/>
    <mergeCell ref="J5:K6"/>
    <mergeCell ref="M5:N6"/>
    <mergeCell ref="F6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01"/>
  <sheetViews>
    <sheetView workbookViewId="0">
      <selection activeCell="F9" sqref="F9"/>
    </sheetView>
  </sheetViews>
  <sheetFormatPr defaultRowHeight="15" x14ac:dyDescent="0.25"/>
  <cols>
    <col min="1" max="1" width="7.140625" customWidth="1"/>
    <col min="2" max="2" width="25.85546875" bestFit="1" customWidth="1"/>
    <col min="3" max="3" width="6.7109375" customWidth="1"/>
    <col min="4" max="4" width="5.7109375" customWidth="1"/>
    <col min="5" max="5" width="5.85546875" customWidth="1"/>
    <col min="6" max="6" width="11.42578125" customWidth="1"/>
    <col min="7" max="7" width="13.42578125" customWidth="1"/>
    <col min="8" max="8" width="14" customWidth="1"/>
    <col min="9" max="9" width="2.7109375" customWidth="1"/>
    <col min="10" max="10" width="9.140625" customWidth="1"/>
    <col min="11" max="11" width="13.5703125" bestFit="1" customWidth="1"/>
    <col min="12" max="12" width="2.7109375" style="4" customWidth="1"/>
    <col min="13" max="14" width="9.140625" style="4" customWidth="1"/>
    <col min="15" max="23" width="9.140625" customWidth="1"/>
    <col min="24" max="24" width="11.5703125" customWidth="1"/>
    <col min="25" max="25" width="11.85546875" customWidth="1"/>
    <col min="26" max="26" width="15.7109375" customWidth="1"/>
    <col min="27" max="27" width="1.5703125" customWidth="1"/>
    <col min="28" max="28" width="10.5703125" customWidth="1"/>
    <col min="29" max="29" width="20.7109375" customWidth="1"/>
    <col min="30" max="30" width="2" customWidth="1"/>
    <col min="31" max="31" width="10.140625" customWidth="1"/>
    <col min="32" max="32" width="13.7109375" customWidth="1"/>
    <col min="33" max="33" width="16.5703125" customWidth="1"/>
    <col min="34" max="34" width="16" customWidth="1"/>
    <col min="35" max="244" width="9.42578125" customWidth="1"/>
    <col min="245" max="245" width="7.140625" customWidth="1"/>
    <col min="246" max="246" width="35.28515625" customWidth="1"/>
    <col min="247" max="247" width="6.7109375" customWidth="1"/>
    <col min="248" max="248" width="5.7109375" customWidth="1"/>
    <col min="249" max="249" width="5.85546875" customWidth="1"/>
    <col min="250" max="250" width="7.85546875" customWidth="1"/>
    <col min="257" max="257" width="7.140625" customWidth="1"/>
    <col min="258" max="258" width="39.42578125" customWidth="1"/>
    <col min="259" max="259" width="6.7109375" customWidth="1"/>
    <col min="260" max="260" width="5.7109375" customWidth="1"/>
    <col min="261" max="261" width="5.85546875" customWidth="1"/>
    <col min="262" max="262" width="7.85546875" customWidth="1"/>
    <col min="263" max="263" width="14.28515625" customWidth="1"/>
    <col min="264" max="264" width="14" customWidth="1"/>
    <col min="265" max="279" width="0" hidden="1" customWidth="1"/>
    <col min="280" max="280" width="11.5703125" customWidth="1"/>
    <col min="281" max="281" width="11.85546875" customWidth="1"/>
    <col min="282" max="282" width="15.7109375" customWidth="1"/>
    <col min="283" max="283" width="1.5703125" customWidth="1"/>
    <col min="284" max="284" width="10.5703125" customWidth="1"/>
    <col min="285" max="285" width="20.7109375" customWidth="1"/>
    <col min="286" max="286" width="2" customWidth="1"/>
    <col min="287" max="287" width="10.140625" customWidth="1"/>
    <col min="288" max="288" width="13.7109375" customWidth="1"/>
    <col min="289" max="289" width="16.5703125" customWidth="1"/>
    <col min="290" max="290" width="16" customWidth="1"/>
    <col min="291" max="500" width="9.42578125" customWidth="1"/>
    <col min="501" max="501" width="7.140625" customWidth="1"/>
    <col min="502" max="502" width="35.28515625" customWidth="1"/>
    <col min="503" max="503" width="6.7109375" customWidth="1"/>
    <col min="504" max="504" width="5.7109375" customWidth="1"/>
    <col min="505" max="505" width="5.85546875" customWidth="1"/>
    <col min="506" max="506" width="7.85546875" customWidth="1"/>
    <col min="513" max="513" width="7.140625" customWidth="1"/>
    <col min="514" max="514" width="39.42578125" customWidth="1"/>
    <col min="515" max="515" width="6.7109375" customWidth="1"/>
    <col min="516" max="516" width="5.7109375" customWidth="1"/>
    <col min="517" max="517" width="5.85546875" customWidth="1"/>
    <col min="518" max="518" width="7.85546875" customWidth="1"/>
    <col min="519" max="519" width="14.28515625" customWidth="1"/>
    <col min="520" max="520" width="14" customWidth="1"/>
    <col min="521" max="535" width="0" hidden="1" customWidth="1"/>
    <col min="536" max="536" width="11.5703125" customWidth="1"/>
    <col min="537" max="537" width="11.85546875" customWidth="1"/>
    <col min="538" max="538" width="15.7109375" customWidth="1"/>
    <col min="539" max="539" width="1.5703125" customWidth="1"/>
    <col min="540" max="540" width="10.5703125" customWidth="1"/>
    <col min="541" max="541" width="20.7109375" customWidth="1"/>
    <col min="542" max="542" width="2" customWidth="1"/>
    <col min="543" max="543" width="10.140625" customWidth="1"/>
    <col min="544" max="544" width="13.7109375" customWidth="1"/>
    <col min="545" max="545" width="16.5703125" customWidth="1"/>
    <col min="546" max="546" width="16" customWidth="1"/>
    <col min="547" max="756" width="9.42578125" customWidth="1"/>
    <col min="757" max="757" width="7.140625" customWidth="1"/>
    <col min="758" max="758" width="35.28515625" customWidth="1"/>
    <col min="759" max="759" width="6.7109375" customWidth="1"/>
    <col min="760" max="760" width="5.7109375" customWidth="1"/>
    <col min="761" max="761" width="5.85546875" customWidth="1"/>
    <col min="762" max="762" width="7.85546875" customWidth="1"/>
    <col min="769" max="769" width="7.140625" customWidth="1"/>
    <col min="770" max="770" width="39.42578125" customWidth="1"/>
    <col min="771" max="771" width="6.7109375" customWidth="1"/>
    <col min="772" max="772" width="5.7109375" customWidth="1"/>
    <col min="773" max="773" width="5.85546875" customWidth="1"/>
    <col min="774" max="774" width="7.85546875" customWidth="1"/>
    <col min="775" max="775" width="14.28515625" customWidth="1"/>
    <col min="776" max="776" width="14" customWidth="1"/>
    <col min="777" max="791" width="0" hidden="1" customWidth="1"/>
    <col min="792" max="792" width="11.5703125" customWidth="1"/>
    <col min="793" max="793" width="11.85546875" customWidth="1"/>
    <col min="794" max="794" width="15.7109375" customWidth="1"/>
    <col min="795" max="795" width="1.5703125" customWidth="1"/>
    <col min="796" max="796" width="10.5703125" customWidth="1"/>
    <col min="797" max="797" width="20.7109375" customWidth="1"/>
    <col min="798" max="798" width="2" customWidth="1"/>
    <col min="799" max="799" width="10.140625" customWidth="1"/>
    <col min="800" max="800" width="13.7109375" customWidth="1"/>
    <col min="801" max="801" width="16.5703125" customWidth="1"/>
    <col min="802" max="802" width="16" customWidth="1"/>
    <col min="803" max="1012" width="9.42578125" customWidth="1"/>
    <col min="1013" max="1013" width="7.140625" customWidth="1"/>
    <col min="1014" max="1014" width="35.28515625" customWidth="1"/>
    <col min="1015" max="1015" width="6.7109375" customWidth="1"/>
    <col min="1016" max="1016" width="5.7109375" customWidth="1"/>
    <col min="1017" max="1017" width="5.85546875" customWidth="1"/>
    <col min="1018" max="1018" width="7.85546875" customWidth="1"/>
    <col min="1025" max="1025" width="7.140625" customWidth="1"/>
    <col min="1026" max="1026" width="39.42578125" customWidth="1"/>
    <col min="1027" max="1027" width="6.7109375" customWidth="1"/>
    <col min="1028" max="1028" width="5.7109375" customWidth="1"/>
    <col min="1029" max="1029" width="5.85546875" customWidth="1"/>
    <col min="1030" max="1030" width="7.85546875" customWidth="1"/>
    <col min="1031" max="1031" width="14.28515625" customWidth="1"/>
    <col min="1032" max="1032" width="14" customWidth="1"/>
    <col min="1033" max="1047" width="0" hidden="1" customWidth="1"/>
    <col min="1048" max="1048" width="11.5703125" customWidth="1"/>
    <col min="1049" max="1049" width="11.85546875" customWidth="1"/>
    <col min="1050" max="1050" width="15.7109375" customWidth="1"/>
    <col min="1051" max="1051" width="1.5703125" customWidth="1"/>
    <col min="1052" max="1052" width="10.5703125" customWidth="1"/>
    <col min="1053" max="1053" width="20.7109375" customWidth="1"/>
    <col min="1054" max="1054" width="2" customWidth="1"/>
    <col min="1055" max="1055" width="10.140625" customWidth="1"/>
    <col min="1056" max="1056" width="13.7109375" customWidth="1"/>
    <col min="1057" max="1057" width="16.5703125" customWidth="1"/>
    <col min="1058" max="1058" width="16" customWidth="1"/>
    <col min="1059" max="1268" width="9.42578125" customWidth="1"/>
    <col min="1269" max="1269" width="7.140625" customWidth="1"/>
    <col min="1270" max="1270" width="35.28515625" customWidth="1"/>
    <col min="1271" max="1271" width="6.7109375" customWidth="1"/>
    <col min="1272" max="1272" width="5.7109375" customWidth="1"/>
    <col min="1273" max="1273" width="5.85546875" customWidth="1"/>
    <col min="1274" max="1274" width="7.85546875" customWidth="1"/>
    <col min="1281" max="1281" width="7.140625" customWidth="1"/>
    <col min="1282" max="1282" width="39.42578125" customWidth="1"/>
    <col min="1283" max="1283" width="6.7109375" customWidth="1"/>
    <col min="1284" max="1284" width="5.7109375" customWidth="1"/>
    <col min="1285" max="1285" width="5.85546875" customWidth="1"/>
    <col min="1286" max="1286" width="7.85546875" customWidth="1"/>
    <col min="1287" max="1287" width="14.28515625" customWidth="1"/>
    <col min="1288" max="1288" width="14" customWidth="1"/>
    <col min="1289" max="1303" width="0" hidden="1" customWidth="1"/>
    <col min="1304" max="1304" width="11.5703125" customWidth="1"/>
    <col min="1305" max="1305" width="11.85546875" customWidth="1"/>
    <col min="1306" max="1306" width="15.7109375" customWidth="1"/>
    <col min="1307" max="1307" width="1.5703125" customWidth="1"/>
    <col min="1308" max="1308" width="10.5703125" customWidth="1"/>
    <col min="1309" max="1309" width="20.7109375" customWidth="1"/>
    <col min="1310" max="1310" width="2" customWidth="1"/>
    <col min="1311" max="1311" width="10.140625" customWidth="1"/>
    <col min="1312" max="1312" width="13.7109375" customWidth="1"/>
    <col min="1313" max="1313" width="16.5703125" customWidth="1"/>
    <col min="1314" max="1314" width="16" customWidth="1"/>
    <col min="1315" max="1524" width="9.42578125" customWidth="1"/>
    <col min="1525" max="1525" width="7.140625" customWidth="1"/>
    <col min="1526" max="1526" width="35.28515625" customWidth="1"/>
    <col min="1527" max="1527" width="6.7109375" customWidth="1"/>
    <col min="1528" max="1528" width="5.7109375" customWidth="1"/>
    <col min="1529" max="1529" width="5.85546875" customWidth="1"/>
    <col min="1530" max="1530" width="7.85546875" customWidth="1"/>
    <col min="1537" max="1537" width="7.140625" customWidth="1"/>
    <col min="1538" max="1538" width="39.42578125" customWidth="1"/>
    <col min="1539" max="1539" width="6.7109375" customWidth="1"/>
    <col min="1540" max="1540" width="5.7109375" customWidth="1"/>
    <col min="1541" max="1541" width="5.85546875" customWidth="1"/>
    <col min="1542" max="1542" width="7.85546875" customWidth="1"/>
    <col min="1543" max="1543" width="14.28515625" customWidth="1"/>
    <col min="1544" max="1544" width="14" customWidth="1"/>
    <col min="1545" max="1559" width="0" hidden="1" customWidth="1"/>
    <col min="1560" max="1560" width="11.5703125" customWidth="1"/>
    <col min="1561" max="1561" width="11.85546875" customWidth="1"/>
    <col min="1562" max="1562" width="15.7109375" customWidth="1"/>
    <col min="1563" max="1563" width="1.5703125" customWidth="1"/>
    <col min="1564" max="1564" width="10.5703125" customWidth="1"/>
    <col min="1565" max="1565" width="20.7109375" customWidth="1"/>
    <col min="1566" max="1566" width="2" customWidth="1"/>
    <col min="1567" max="1567" width="10.140625" customWidth="1"/>
    <col min="1568" max="1568" width="13.7109375" customWidth="1"/>
    <col min="1569" max="1569" width="16.5703125" customWidth="1"/>
    <col min="1570" max="1570" width="16" customWidth="1"/>
    <col min="1571" max="1780" width="9.42578125" customWidth="1"/>
    <col min="1781" max="1781" width="7.140625" customWidth="1"/>
    <col min="1782" max="1782" width="35.28515625" customWidth="1"/>
    <col min="1783" max="1783" width="6.7109375" customWidth="1"/>
    <col min="1784" max="1784" width="5.7109375" customWidth="1"/>
    <col min="1785" max="1785" width="5.85546875" customWidth="1"/>
    <col min="1786" max="1786" width="7.85546875" customWidth="1"/>
    <col min="1793" max="1793" width="7.140625" customWidth="1"/>
    <col min="1794" max="1794" width="39.42578125" customWidth="1"/>
    <col min="1795" max="1795" width="6.7109375" customWidth="1"/>
    <col min="1796" max="1796" width="5.7109375" customWidth="1"/>
    <col min="1797" max="1797" width="5.85546875" customWidth="1"/>
    <col min="1798" max="1798" width="7.85546875" customWidth="1"/>
    <col min="1799" max="1799" width="14.28515625" customWidth="1"/>
    <col min="1800" max="1800" width="14" customWidth="1"/>
    <col min="1801" max="1815" width="0" hidden="1" customWidth="1"/>
    <col min="1816" max="1816" width="11.5703125" customWidth="1"/>
    <col min="1817" max="1817" width="11.85546875" customWidth="1"/>
    <col min="1818" max="1818" width="15.7109375" customWidth="1"/>
    <col min="1819" max="1819" width="1.5703125" customWidth="1"/>
    <col min="1820" max="1820" width="10.5703125" customWidth="1"/>
    <col min="1821" max="1821" width="20.7109375" customWidth="1"/>
    <col min="1822" max="1822" width="2" customWidth="1"/>
    <col min="1823" max="1823" width="10.140625" customWidth="1"/>
    <col min="1824" max="1824" width="13.7109375" customWidth="1"/>
    <col min="1825" max="1825" width="16.5703125" customWidth="1"/>
    <col min="1826" max="1826" width="16" customWidth="1"/>
    <col min="1827" max="2036" width="9.42578125" customWidth="1"/>
    <col min="2037" max="2037" width="7.140625" customWidth="1"/>
    <col min="2038" max="2038" width="35.28515625" customWidth="1"/>
    <col min="2039" max="2039" width="6.7109375" customWidth="1"/>
    <col min="2040" max="2040" width="5.7109375" customWidth="1"/>
    <col min="2041" max="2041" width="5.85546875" customWidth="1"/>
    <col min="2042" max="2042" width="7.85546875" customWidth="1"/>
    <col min="2049" max="2049" width="7.140625" customWidth="1"/>
    <col min="2050" max="2050" width="39.42578125" customWidth="1"/>
    <col min="2051" max="2051" width="6.7109375" customWidth="1"/>
    <col min="2052" max="2052" width="5.7109375" customWidth="1"/>
    <col min="2053" max="2053" width="5.85546875" customWidth="1"/>
    <col min="2054" max="2054" width="7.85546875" customWidth="1"/>
    <col min="2055" max="2055" width="14.28515625" customWidth="1"/>
    <col min="2056" max="2056" width="14" customWidth="1"/>
    <col min="2057" max="2071" width="0" hidden="1" customWidth="1"/>
    <col min="2072" max="2072" width="11.5703125" customWidth="1"/>
    <col min="2073" max="2073" width="11.85546875" customWidth="1"/>
    <col min="2074" max="2074" width="15.7109375" customWidth="1"/>
    <col min="2075" max="2075" width="1.5703125" customWidth="1"/>
    <col min="2076" max="2076" width="10.5703125" customWidth="1"/>
    <col min="2077" max="2077" width="20.7109375" customWidth="1"/>
    <col min="2078" max="2078" width="2" customWidth="1"/>
    <col min="2079" max="2079" width="10.140625" customWidth="1"/>
    <col min="2080" max="2080" width="13.7109375" customWidth="1"/>
    <col min="2081" max="2081" width="16.5703125" customWidth="1"/>
    <col min="2082" max="2082" width="16" customWidth="1"/>
    <col min="2083" max="2292" width="9.42578125" customWidth="1"/>
    <col min="2293" max="2293" width="7.140625" customWidth="1"/>
    <col min="2294" max="2294" width="35.28515625" customWidth="1"/>
    <col min="2295" max="2295" width="6.7109375" customWidth="1"/>
    <col min="2296" max="2296" width="5.7109375" customWidth="1"/>
    <col min="2297" max="2297" width="5.85546875" customWidth="1"/>
    <col min="2298" max="2298" width="7.85546875" customWidth="1"/>
    <col min="2305" max="2305" width="7.140625" customWidth="1"/>
    <col min="2306" max="2306" width="39.42578125" customWidth="1"/>
    <col min="2307" max="2307" width="6.7109375" customWidth="1"/>
    <col min="2308" max="2308" width="5.7109375" customWidth="1"/>
    <col min="2309" max="2309" width="5.85546875" customWidth="1"/>
    <col min="2310" max="2310" width="7.85546875" customWidth="1"/>
    <col min="2311" max="2311" width="14.28515625" customWidth="1"/>
    <col min="2312" max="2312" width="14" customWidth="1"/>
    <col min="2313" max="2327" width="0" hidden="1" customWidth="1"/>
    <col min="2328" max="2328" width="11.5703125" customWidth="1"/>
    <col min="2329" max="2329" width="11.85546875" customWidth="1"/>
    <col min="2330" max="2330" width="15.7109375" customWidth="1"/>
    <col min="2331" max="2331" width="1.5703125" customWidth="1"/>
    <col min="2332" max="2332" width="10.5703125" customWidth="1"/>
    <col min="2333" max="2333" width="20.7109375" customWidth="1"/>
    <col min="2334" max="2334" width="2" customWidth="1"/>
    <col min="2335" max="2335" width="10.140625" customWidth="1"/>
    <col min="2336" max="2336" width="13.7109375" customWidth="1"/>
    <col min="2337" max="2337" width="16.5703125" customWidth="1"/>
    <col min="2338" max="2338" width="16" customWidth="1"/>
    <col min="2339" max="2548" width="9.42578125" customWidth="1"/>
    <col min="2549" max="2549" width="7.140625" customWidth="1"/>
    <col min="2550" max="2550" width="35.28515625" customWidth="1"/>
    <col min="2551" max="2551" width="6.7109375" customWidth="1"/>
    <col min="2552" max="2552" width="5.7109375" customWidth="1"/>
    <col min="2553" max="2553" width="5.85546875" customWidth="1"/>
    <col min="2554" max="2554" width="7.85546875" customWidth="1"/>
    <col min="2561" max="2561" width="7.140625" customWidth="1"/>
    <col min="2562" max="2562" width="39.42578125" customWidth="1"/>
    <col min="2563" max="2563" width="6.7109375" customWidth="1"/>
    <col min="2564" max="2564" width="5.7109375" customWidth="1"/>
    <col min="2565" max="2565" width="5.85546875" customWidth="1"/>
    <col min="2566" max="2566" width="7.85546875" customWidth="1"/>
    <col min="2567" max="2567" width="14.28515625" customWidth="1"/>
    <col min="2568" max="2568" width="14" customWidth="1"/>
    <col min="2569" max="2583" width="0" hidden="1" customWidth="1"/>
    <col min="2584" max="2584" width="11.5703125" customWidth="1"/>
    <col min="2585" max="2585" width="11.85546875" customWidth="1"/>
    <col min="2586" max="2586" width="15.7109375" customWidth="1"/>
    <col min="2587" max="2587" width="1.5703125" customWidth="1"/>
    <col min="2588" max="2588" width="10.5703125" customWidth="1"/>
    <col min="2589" max="2589" width="20.7109375" customWidth="1"/>
    <col min="2590" max="2590" width="2" customWidth="1"/>
    <col min="2591" max="2591" width="10.140625" customWidth="1"/>
    <col min="2592" max="2592" width="13.7109375" customWidth="1"/>
    <col min="2593" max="2593" width="16.5703125" customWidth="1"/>
    <col min="2594" max="2594" width="16" customWidth="1"/>
    <col min="2595" max="2804" width="9.42578125" customWidth="1"/>
    <col min="2805" max="2805" width="7.140625" customWidth="1"/>
    <col min="2806" max="2806" width="35.28515625" customWidth="1"/>
    <col min="2807" max="2807" width="6.7109375" customWidth="1"/>
    <col min="2808" max="2808" width="5.7109375" customWidth="1"/>
    <col min="2809" max="2809" width="5.85546875" customWidth="1"/>
    <col min="2810" max="2810" width="7.85546875" customWidth="1"/>
    <col min="2817" max="2817" width="7.140625" customWidth="1"/>
    <col min="2818" max="2818" width="39.42578125" customWidth="1"/>
    <col min="2819" max="2819" width="6.7109375" customWidth="1"/>
    <col min="2820" max="2820" width="5.7109375" customWidth="1"/>
    <col min="2821" max="2821" width="5.85546875" customWidth="1"/>
    <col min="2822" max="2822" width="7.85546875" customWidth="1"/>
    <col min="2823" max="2823" width="14.28515625" customWidth="1"/>
    <col min="2824" max="2824" width="14" customWidth="1"/>
    <col min="2825" max="2839" width="0" hidden="1" customWidth="1"/>
    <col min="2840" max="2840" width="11.5703125" customWidth="1"/>
    <col min="2841" max="2841" width="11.85546875" customWidth="1"/>
    <col min="2842" max="2842" width="15.7109375" customWidth="1"/>
    <col min="2843" max="2843" width="1.5703125" customWidth="1"/>
    <col min="2844" max="2844" width="10.5703125" customWidth="1"/>
    <col min="2845" max="2845" width="20.7109375" customWidth="1"/>
    <col min="2846" max="2846" width="2" customWidth="1"/>
    <col min="2847" max="2847" width="10.140625" customWidth="1"/>
    <col min="2848" max="2848" width="13.7109375" customWidth="1"/>
    <col min="2849" max="2849" width="16.5703125" customWidth="1"/>
    <col min="2850" max="2850" width="16" customWidth="1"/>
    <col min="2851" max="3060" width="9.42578125" customWidth="1"/>
    <col min="3061" max="3061" width="7.140625" customWidth="1"/>
    <col min="3062" max="3062" width="35.28515625" customWidth="1"/>
    <col min="3063" max="3063" width="6.7109375" customWidth="1"/>
    <col min="3064" max="3064" width="5.7109375" customWidth="1"/>
    <col min="3065" max="3065" width="5.85546875" customWidth="1"/>
    <col min="3066" max="3066" width="7.85546875" customWidth="1"/>
    <col min="3073" max="3073" width="7.140625" customWidth="1"/>
    <col min="3074" max="3074" width="39.42578125" customWidth="1"/>
    <col min="3075" max="3075" width="6.7109375" customWidth="1"/>
    <col min="3076" max="3076" width="5.7109375" customWidth="1"/>
    <col min="3077" max="3077" width="5.85546875" customWidth="1"/>
    <col min="3078" max="3078" width="7.85546875" customWidth="1"/>
    <col min="3079" max="3079" width="14.28515625" customWidth="1"/>
    <col min="3080" max="3080" width="14" customWidth="1"/>
    <col min="3081" max="3095" width="0" hidden="1" customWidth="1"/>
    <col min="3096" max="3096" width="11.5703125" customWidth="1"/>
    <col min="3097" max="3097" width="11.85546875" customWidth="1"/>
    <col min="3098" max="3098" width="15.7109375" customWidth="1"/>
    <col min="3099" max="3099" width="1.5703125" customWidth="1"/>
    <col min="3100" max="3100" width="10.5703125" customWidth="1"/>
    <col min="3101" max="3101" width="20.7109375" customWidth="1"/>
    <col min="3102" max="3102" width="2" customWidth="1"/>
    <col min="3103" max="3103" width="10.140625" customWidth="1"/>
    <col min="3104" max="3104" width="13.7109375" customWidth="1"/>
    <col min="3105" max="3105" width="16.5703125" customWidth="1"/>
    <col min="3106" max="3106" width="16" customWidth="1"/>
    <col min="3107" max="3316" width="9.42578125" customWidth="1"/>
    <col min="3317" max="3317" width="7.140625" customWidth="1"/>
    <col min="3318" max="3318" width="35.28515625" customWidth="1"/>
    <col min="3319" max="3319" width="6.7109375" customWidth="1"/>
    <col min="3320" max="3320" width="5.7109375" customWidth="1"/>
    <col min="3321" max="3321" width="5.85546875" customWidth="1"/>
    <col min="3322" max="3322" width="7.85546875" customWidth="1"/>
    <col min="3329" max="3329" width="7.140625" customWidth="1"/>
    <col min="3330" max="3330" width="39.42578125" customWidth="1"/>
    <col min="3331" max="3331" width="6.7109375" customWidth="1"/>
    <col min="3332" max="3332" width="5.7109375" customWidth="1"/>
    <col min="3333" max="3333" width="5.85546875" customWidth="1"/>
    <col min="3334" max="3334" width="7.85546875" customWidth="1"/>
    <col min="3335" max="3335" width="14.28515625" customWidth="1"/>
    <col min="3336" max="3336" width="14" customWidth="1"/>
    <col min="3337" max="3351" width="0" hidden="1" customWidth="1"/>
    <col min="3352" max="3352" width="11.5703125" customWidth="1"/>
    <col min="3353" max="3353" width="11.85546875" customWidth="1"/>
    <col min="3354" max="3354" width="15.7109375" customWidth="1"/>
    <col min="3355" max="3355" width="1.5703125" customWidth="1"/>
    <col min="3356" max="3356" width="10.5703125" customWidth="1"/>
    <col min="3357" max="3357" width="20.7109375" customWidth="1"/>
    <col min="3358" max="3358" width="2" customWidth="1"/>
    <col min="3359" max="3359" width="10.140625" customWidth="1"/>
    <col min="3360" max="3360" width="13.7109375" customWidth="1"/>
    <col min="3361" max="3361" width="16.5703125" customWidth="1"/>
    <col min="3362" max="3362" width="16" customWidth="1"/>
    <col min="3363" max="3572" width="9.42578125" customWidth="1"/>
    <col min="3573" max="3573" width="7.140625" customWidth="1"/>
    <col min="3574" max="3574" width="35.28515625" customWidth="1"/>
    <col min="3575" max="3575" width="6.7109375" customWidth="1"/>
    <col min="3576" max="3576" width="5.7109375" customWidth="1"/>
    <col min="3577" max="3577" width="5.85546875" customWidth="1"/>
    <col min="3578" max="3578" width="7.85546875" customWidth="1"/>
    <col min="3585" max="3585" width="7.140625" customWidth="1"/>
    <col min="3586" max="3586" width="39.42578125" customWidth="1"/>
    <col min="3587" max="3587" width="6.7109375" customWidth="1"/>
    <col min="3588" max="3588" width="5.7109375" customWidth="1"/>
    <col min="3589" max="3589" width="5.85546875" customWidth="1"/>
    <col min="3590" max="3590" width="7.85546875" customWidth="1"/>
    <col min="3591" max="3591" width="14.28515625" customWidth="1"/>
    <col min="3592" max="3592" width="14" customWidth="1"/>
    <col min="3593" max="3607" width="0" hidden="1" customWidth="1"/>
    <col min="3608" max="3608" width="11.5703125" customWidth="1"/>
    <col min="3609" max="3609" width="11.85546875" customWidth="1"/>
    <col min="3610" max="3610" width="15.7109375" customWidth="1"/>
    <col min="3611" max="3611" width="1.5703125" customWidth="1"/>
    <col min="3612" max="3612" width="10.5703125" customWidth="1"/>
    <col min="3613" max="3613" width="20.7109375" customWidth="1"/>
    <col min="3614" max="3614" width="2" customWidth="1"/>
    <col min="3615" max="3615" width="10.140625" customWidth="1"/>
    <col min="3616" max="3616" width="13.7109375" customWidth="1"/>
    <col min="3617" max="3617" width="16.5703125" customWidth="1"/>
    <col min="3618" max="3618" width="16" customWidth="1"/>
    <col min="3619" max="3828" width="9.42578125" customWidth="1"/>
    <col min="3829" max="3829" width="7.140625" customWidth="1"/>
    <col min="3830" max="3830" width="35.28515625" customWidth="1"/>
    <col min="3831" max="3831" width="6.7109375" customWidth="1"/>
    <col min="3832" max="3832" width="5.7109375" customWidth="1"/>
    <col min="3833" max="3833" width="5.85546875" customWidth="1"/>
    <col min="3834" max="3834" width="7.85546875" customWidth="1"/>
    <col min="3841" max="3841" width="7.140625" customWidth="1"/>
    <col min="3842" max="3842" width="39.42578125" customWidth="1"/>
    <col min="3843" max="3843" width="6.7109375" customWidth="1"/>
    <col min="3844" max="3844" width="5.7109375" customWidth="1"/>
    <col min="3845" max="3845" width="5.85546875" customWidth="1"/>
    <col min="3846" max="3846" width="7.85546875" customWidth="1"/>
    <col min="3847" max="3847" width="14.28515625" customWidth="1"/>
    <col min="3848" max="3848" width="14" customWidth="1"/>
    <col min="3849" max="3863" width="0" hidden="1" customWidth="1"/>
    <col min="3864" max="3864" width="11.5703125" customWidth="1"/>
    <col min="3865" max="3865" width="11.85546875" customWidth="1"/>
    <col min="3866" max="3866" width="15.7109375" customWidth="1"/>
    <col min="3867" max="3867" width="1.5703125" customWidth="1"/>
    <col min="3868" max="3868" width="10.5703125" customWidth="1"/>
    <col min="3869" max="3869" width="20.7109375" customWidth="1"/>
    <col min="3870" max="3870" width="2" customWidth="1"/>
    <col min="3871" max="3871" width="10.140625" customWidth="1"/>
    <col min="3872" max="3872" width="13.7109375" customWidth="1"/>
    <col min="3873" max="3873" width="16.5703125" customWidth="1"/>
    <col min="3874" max="3874" width="16" customWidth="1"/>
    <col min="3875" max="4084" width="9.42578125" customWidth="1"/>
    <col min="4085" max="4085" width="7.140625" customWidth="1"/>
    <col min="4086" max="4086" width="35.28515625" customWidth="1"/>
    <col min="4087" max="4087" width="6.7109375" customWidth="1"/>
    <col min="4088" max="4088" width="5.7109375" customWidth="1"/>
    <col min="4089" max="4089" width="5.85546875" customWidth="1"/>
    <col min="4090" max="4090" width="7.85546875" customWidth="1"/>
    <col min="4097" max="4097" width="7.140625" customWidth="1"/>
    <col min="4098" max="4098" width="39.42578125" customWidth="1"/>
    <col min="4099" max="4099" width="6.7109375" customWidth="1"/>
    <col min="4100" max="4100" width="5.7109375" customWidth="1"/>
    <col min="4101" max="4101" width="5.85546875" customWidth="1"/>
    <col min="4102" max="4102" width="7.85546875" customWidth="1"/>
    <col min="4103" max="4103" width="14.28515625" customWidth="1"/>
    <col min="4104" max="4104" width="14" customWidth="1"/>
    <col min="4105" max="4119" width="0" hidden="1" customWidth="1"/>
    <col min="4120" max="4120" width="11.5703125" customWidth="1"/>
    <col min="4121" max="4121" width="11.85546875" customWidth="1"/>
    <col min="4122" max="4122" width="15.7109375" customWidth="1"/>
    <col min="4123" max="4123" width="1.5703125" customWidth="1"/>
    <col min="4124" max="4124" width="10.5703125" customWidth="1"/>
    <col min="4125" max="4125" width="20.7109375" customWidth="1"/>
    <col min="4126" max="4126" width="2" customWidth="1"/>
    <col min="4127" max="4127" width="10.140625" customWidth="1"/>
    <col min="4128" max="4128" width="13.7109375" customWidth="1"/>
    <col min="4129" max="4129" width="16.5703125" customWidth="1"/>
    <col min="4130" max="4130" width="16" customWidth="1"/>
    <col min="4131" max="4340" width="9.42578125" customWidth="1"/>
    <col min="4341" max="4341" width="7.140625" customWidth="1"/>
    <col min="4342" max="4342" width="35.28515625" customWidth="1"/>
    <col min="4343" max="4343" width="6.7109375" customWidth="1"/>
    <col min="4344" max="4344" width="5.7109375" customWidth="1"/>
    <col min="4345" max="4345" width="5.85546875" customWidth="1"/>
    <col min="4346" max="4346" width="7.85546875" customWidth="1"/>
    <col min="4353" max="4353" width="7.140625" customWidth="1"/>
    <col min="4354" max="4354" width="39.42578125" customWidth="1"/>
    <col min="4355" max="4355" width="6.7109375" customWidth="1"/>
    <col min="4356" max="4356" width="5.7109375" customWidth="1"/>
    <col min="4357" max="4357" width="5.85546875" customWidth="1"/>
    <col min="4358" max="4358" width="7.85546875" customWidth="1"/>
    <col min="4359" max="4359" width="14.28515625" customWidth="1"/>
    <col min="4360" max="4360" width="14" customWidth="1"/>
    <col min="4361" max="4375" width="0" hidden="1" customWidth="1"/>
    <col min="4376" max="4376" width="11.5703125" customWidth="1"/>
    <col min="4377" max="4377" width="11.85546875" customWidth="1"/>
    <col min="4378" max="4378" width="15.7109375" customWidth="1"/>
    <col min="4379" max="4379" width="1.5703125" customWidth="1"/>
    <col min="4380" max="4380" width="10.5703125" customWidth="1"/>
    <col min="4381" max="4381" width="20.7109375" customWidth="1"/>
    <col min="4382" max="4382" width="2" customWidth="1"/>
    <col min="4383" max="4383" width="10.140625" customWidth="1"/>
    <col min="4384" max="4384" width="13.7109375" customWidth="1"/>
    <col min="4385" max="4385" width="16.5703125" customWidth="1"/>
    <col min="4386" max="4386" width="16" customWidth="1"/>
    <col min="4387" max="4596" width="9.42578125" customWidth="1"/>
    <col min="4597" max="4597" width="7.140625" customWidth="1"/>
    <col min="4598" max="4598" width="35.28515625" customWidth="1"/>
    <col min="4599" max="4599" width="6.7109375" customWidth="1"/>
    <col min="4600" max="4600" width="5.7109375" customWidth="1"/>
    <col min="4601" max="4601" width="5.85546875" customWidth="1"/>
    <col min="4602" max="4602" width="7.85546875" customWidth="1"/>
    <col min="4609" max="4609" width="7.140625" customWidth="1"/>
    <col min="4610" max="4610" width="39.42578125" customWidth="1"/>
    <col min="4611" max="4611" width="6.7109375" customWidth="1"/>
    <col min="4612" max="4612" width="5.7109375" customWidth="1"/>
    <col min="4613" max="4613" width="5.85546875" customWidth="1"/>
    <col min="4614" max="4614" width="7.85546875" customWidth="1"/>
    <col min="4615" max="4615" width="14.28515625" customWidth="1"/>
    <col min="4616" max="4616" width="14" customWidth="1"/>
    <col min="4617" max="4631" width="0" hidden="1" customWidth="1"/>
    <col min="4632" max="4632" width="11.5703125" customWidth="1"/>
    <col min="4633" max="4633" width="11.85546875" customWidth="1"/>
    <col min="4634" max="4634" width="15.7109375" customWidth="1"/>
    <col min="4635" max="4635" width="1.5703125" customWidth="1"/>
    <col min="4636" max="4636" width="10.5703125" customWidth="1"/>
    <col min="4637" max="4637" width="20.7109375" customWidth="1"/>
    <col min="4638" max="4638" width="2" customWidth="1"/>
    <col min="4639" max="4639" width="10.140625" customWidth="1"/>
    <col min="4640" max="4640" width="13.7109375" customWidth="1"/>
    <col min="4641" max="4641" width="16.5703125" customWidth="1"/>
    <col min="4642" max="4642" width="16" customWidth="1"/>
    <col min="4643" max="4852" width="9.42578125" customWidth="1"/>
    <col min="4853" max="4853" width="7.140625" customWidth="1"/>
    <col min="4854" max="4854" width="35.28515625" customWidth="1"/>
    <col min="4855" max="4855" width="6.7109375" customWidth="1"/>
    <col min="4856" max="4856" width="5.7109375" customWidth="1"/>
    <col min="4857" max="4857" width="5.85546875" customWidth="1"/>
    <col min="4858" max="4858" width="7.85546875" customWidth="1"/>
    <col min="4865" max="4865" width="7.140625" customWidth="1"/>
    <col min="4866" max="4866" width="39.42578125" customWidth="1"/>
    <col min="4867" max="4867" width="6.7109375" customWidth="1"/>
    <col min="4868" max="4868" width="5.7109375" customWidth="1"/>
    <col min="4869" max="4869" width="5.85546875" customWidth="1"/>
    <col min="4870" max="4870" width="7.85546875" customWidth="1"/>
    <col min="4871" max="4871" width="14.28515625" customWidth="1"/>
    <col min="4872" max="4872" width="14" customWidth="1"/>
    <col min="4873" max="4887" width="0" hidden="1" customWidth="1"/>
    <col min="4888" max="4888" width="11.5703125" customWidth="1"/>
    <col min="4889" max="4889" width="11.85546875" customWidth="1"/>
    <col min="4890" max="4890" width="15.7109375" customWidth="1"/>
    <col min="4891" max="4891" width="1.5703125" customWidth="1"/>
    <col min="4892" max="4892" width="10.5703125" customWidth="1"/>
    <col min="4893" max="4893" width="20.7109375" customWidth="1"/>
    <col min="4894" max="4894" width="2" customWidth="1"/>
    <col min="4895" max="4895" width="10.140625" customWidth="1"/>
    <col min="4896" max="4896" width="13.7109375" customWidth="1"/>
    <col min="4897" max="4897" width="16.5703125" customWidth="1"/>
    <col min="4898" max="4898" width="16" customWidth="1"/>
    <col min="4899" max="5108" width="9.42578125" customWidth="1"/>
    <col min="5109" max="5109" width="7.140625" customWidth="1"/>
    <col min="5110" max="5110" width="35.28515625" customWidth="1"/>
    <col min="5111" max="5111" width="6.7109375" customWidth="1"/>
    <col min="5112" max="5112" width="5.7109375" customWidth="1"/>
    <col min="5113" max="5113" width="5.85546875" customWidth="1"/>
    <col min="5114" max="5114" width="7.85546875" customWidth="1"/>
    <col min="5121" max="5121" width="7.140625" customWidth="1"/>
    <col min="5122" max="5122" width="39.42578125" customWidth="1"/>
    <col min="5123" max="5123" width="6.7109375" customWidth="1"/>
    <col min="5124" max="5124" width="5.7109375" customWidth="1"/>
    <col min="5125" max="5125" width="5.85546875" customWidth="1"/>
    <col min="5126" max="5126" width="7.85546875" customWidth="1"/>
    <col min="5127" max="5127" width="14.28515625" customWidth="1"/>
    <col min="5128" max="5128" width="14" customWidth="1"/>
    <col min="5129" max="5143" width="0" hidden="1" customWidth="1"/>
    <col min="5144" max="5144" width="11.5703125" customWidth="1"/>
    <col min="5145" max="5145" width="11.85546875" customWidth="1"/>
    <col min="5146" max="5146" width="15.7109375" customWidth="1"/>
    <col min="5147" max="5147" width="1.5703125" customWidth="1"/>
    <col min="5148" max="5148" width="10.5703125" customWidth="1"/>
    <col min="5149" max="5149" width="20.7109375" customWidth="1"/>
    <col min="5150" max="5150" width="2" customWidth="1"/>
    <col min="5151" max="5151" width="10.140625" customWidth="1"/>
    <col min="5152" max="5152" width="13.7109375" customWidth="1"/>
    <col min="5153" max="5153" width="16.5703125" customWidth="1"/>
    <col min="5154" max="5154" width="16" customWidth="1"/>
    <col min="5155" max="5364" width="9.42578125" customWidth="1"/>
    <col min="5365" max="5365" width="7.140625" customWidth="1"/>
    <col min="5366" max="5366" width="35.28515625" customWidth="1"/>
    <col min="5367" max="5367" width="6.7109375" customWidth="1"/>
    <col min="5368" max="5368" width="5.7109375" customWidth="1"/>
    <col min="5369" max="5369" width="5.85546875" customWidth="1"/>
    <col min="5370" max="5370" width="7.85546875" customWidth="1"/>
    <col min="5377" max="5377" width="7.140625" customWidth="1"/>
    <col min="5378" max="5378" width="39.42578125" customWidth="1"/>
    <col min="5379" max="5379" width="6.7109375" customWidth="1"/>
    <col min="5380" max="5380" width="5.7109375" customWidth="1"/>
    <col min="5381" max="5381" width="5.85546875" customWidth="1"/>
    <col min="5382" max="5382" width="7.85546875" customWidth="1"/>
    <col min="5383" max="5383" width="14.28515625" customWidth="1"/>
    <col min="5384" max="5384" width="14" customWidth="1"/>
    <col min="5385" max="5399" width="0" hidden="1" customWidth="1"/>
    <col min="5400" max="5400" width="11.5703125" customWidth="1"/>
    <col min="5401" max="5401" width="11.85546875" customWidth="1"/>
    <col min="5402" max="5402" width="15.7109375" customWidth="1"/>
    <col min="5403" max="5403" width="1.5703125" customWidth="1"/>
    <col min="5404" max="5404" width="10.5703125" customWidth="1"/>
    <col min="5405" max="5405" width="20.7109375" customWidth="1"/>
    <col min="5406" max="5406" width="2" customWidth="1"/>
    <col min="5407" max="5407" width="10.140625" customWidth="1"/>
    <col min="5408" max="5408" width="13.7109375" customWidth="1"/>
    <col min="5409" max="5409" width="16.5703125" customWidth="1"/>
    <col min="5410" max="5410" width="16" customWidth="1"/>
    <col min="5411" max="5620" width="9.42578125" customWidth="1"/>
    <col min="5621" max="5621" width="7.140625" customWidth="1"/>
    <col min="5622" max="5622" width="35.28515625" customWidth="1"/>
    <col min="5623" max="5623" width="6.7109375" customWidth="1"/>
    <col min="5624" max="5624" width="5.7109375" customWidth="1"/>
    <col min="5625" max="5625" width="5.85546875" customWidth="1"/>
    <col min="5626" max="5626" width="7.85546875" customWidth="1"/>
    <col min="5633" max="5633" width="7.140625" customWidth="1"/>
    <col min="5634" max="5634" width="39.42578125" customWidth="1"/>
    <col min="5635" max="5635" width="6.7109375" customWidth="1"/>
    <col min="5636" max="5636" width="5.7109375" customWidth="1"/>
    <col min="5637" max="5637" width="5.85546875" customWidth="1"/>
    <col min="5638" max="5638" width="7.85546875" customWidth="1"/>
    <col min="5639" max="5639" width="14.28515625" customWidth="1"/>
    <col min="5640" max="5640" width="14" customWidth="1"/>
    <col min="5641" max="5655" width="0" hidden="1" customWidth="1"/>
    <col min="5656" max="5656" width="11.5703125" customWidth="1"/>
    <col min="5657" max="5657" width="11.85546875" customWidth="1"/>
    <col min="5658" max="5658" width="15.7109375" customWidth="1"/>
    <col min="5659" max="5659" width="1.5703125" customWidth="1"/>
    <col min="5660" max="5660" width="10.5703125" customWidth="1"/>
    <col min="5661" max="5661" width="20.7109375" customWidth="1"/>
    <col min="5662" max="5662" width="2" customWidth="1"/>
    <col min="5663" max="5663" width="10.140625" customWidth="1"/>
    <col min="5664" max="5664" width="13.7109375" customWidth="1"/>
    <col min="5665" max="5665" width="16.5703125" customWidth="1"/>
    <col min="5666" max="5666" width="16" customWidth="1"/>
    <col min="5667" max="5876" width="9.42578125" customWidth="1"/>
    <col min="5877" max="5877" width="7.140625" customWidth="1"/>
    <col min="5878" max="5878" width="35.28515625" customWidth="1"/>
    <col min="5879" max="5879" width="6.7109375" customWidth="1"/>
    <col min="5880" max="5880" width="5.7109375" customWidth="1"/>
    <col min="5881" max="5881" width="5.85546875" customWidth="1"/>
    <col min="5882" max="5882" width="7.85546875" customWidth="1"/>
    <col min="5889" max="5889" width="7.140625" customWidth="1"/>
    <col min="5890" max="5890" width="39.42578125" customWidth="1"/>
    <col min="5891" max="5891" width="6.7109375" customWidth="1"/>
    <col min="5892" max="5892" width="5.7109375" customWidth="1"/>
    <col min="5893" max="5893" width="5.85546875" customWidth="1"/>
    <col min="5894" max="5894" width="7.85546875" customWidth="1"/>
    <col min="5895" max="5895" width="14.28515625" customWidth="1"/>
    <col min="5896" max="5896" width="14" customWidth="1"/>
    <col min="5897" max="5911" width="0" hidden="1" customWidth="1"/>
    <col min="5912" max="5912" width="11.5703125" customWidth="1"/>
    <col min="5913" max="5913" width="11.85546875" customWidth="1"/>
    <col min="5914" max="5914" width="15.7109375" customWidth="1"/>
    <col min="5915" max="5915" width="1.5703125" customWidth="1"/>
    <col min="5916" max="5916" width="10.5703125" customWidth="1"/>
    <col min="5917" max="5917" width="20.7109375" customWidth="1"/>
    <col min="5918" max="5918" width="2" customWidth="1"/>
    <col min="5919" max="5919" width="10.140625" customWidth="1"/>
    <col min="5920" max="5920" width="13.7109375" customWidth="1"/>
    <col min="5921" max="5921" width="16.5703125" customWidth="1"/>
    <col min="5922" max="5922" width="16" customWidth="1"/>
    <col min="5923" max="6132" width="9.42578125" customWidth="1"/>
    <col min="6133" max="6133" width="7.140625" customWidth="1"/>
    <col min="6134" max="6134" width="35.28515625" customWidth="1"/>
    <col min="6135" max="6135" width="6.7109375" customWidth="1"/>
    <col min="6136" max="6136" width="5.7109375" customWidth="1"/>
    <col min="6137" max="6137" width="5.85546875" customWidth="1"/>
    <col min="6138" max="6138" width="7.85546875" customWidth="1"/>
    <col min="6145" max="6145" width="7.140625" customWidth="1"/>
    <col min="6146" max="6146" width="39.42578125" customWidth="1"/>
    <col min="6147" max="6147" width="6.7109375" customWidth="1"/>
    <col min="6148" max="6148" width="5.7109375" customWidth="1"/>
    <col min="6149" max="6149" width="5.85546875" customWidth="1"/>
    <col min="6150" max="6150" width="7.85546875" customWidth="1"/>
    <col min="6151" max="6151" width="14.28515625" customWidth="1"/>
    <col min="6152" max="6152" width="14" customWidth="1"/>
    <col min="6153" max="6167" width="0" hidden="1" customWidth="1"/>
    <col min="6168" max="6168" width="11.5703125" customWidth="1"/>
    <col min="6169" max="6169" width="11.85546875" customWidth="1"/>
    <col min="6170" max="6170" width="15.7109375" customWidth="1"/>
    <col min="6171" max="6171" width="1.5703125" customWidth="1"/>
    <col min="6172" max="6172" width="10.5703125" customWidth="1"/>
    <col min="6173" max="6173" width="20.7109375" customWidth="1"/>
    <col min="6174" max="6174" width="2" customWidth="1"/>
    <col min="6175" max="6175" width="10.140625" customWidth="1"/>
    <col min="6176" max="6176" width="13.7109375" customWidth="1"/>
    <col min="6177" max="6177" width="16.5703125" customWidth="1"/>
    <col min="6178" max="6178" width="16" customWidth="1"/>
    <col min="6179" max="6388" width="9.42578125" customWidth="1"/>
    <col min="6389" max="6389" width="7.140625" customWidth="1"/>
    <col min="6390" max="6390" width="35.28515625" customWidth="1"/>
    <col min="6391" max="6391" width="6.7109375" customWidth="1"/>
    <col min="6392" max="6392" width="5.7109375" customWidth="1"/>
    <col min="6393" max="6393" width="5.85546875" customWidth="1"/>
    <col min="6394" max="6394" width="7.85546875" customWidth="1"/>
    <col min="6401" max="6401" width="7.140625" customWidth="1"/>
    <col min="6402" max="6402" width="39.42578125" customWidth="1"/>
    <col min="6403" max="6403" width="6.7109375" customWidth="1"/>
    <col min="6404" max="6404" width="5.7109375" customWidth="1"/>
    <col min="6405" max="6405" width="5.85546875" customWidth="1"/>
    <col min="6406" max="6406" width="7.85546875" customWidth="1"/>
    <col min="6407" max="6407" width="14.28515625" customWidth="1"/>
    <col min="6408" max="6408" width="14" customWidth="1"/>
    <col min="6409" max="6423" width="0" hidden="1" customWidth="1"/>
    <col min="6424" max="6424" width="11.5703125" customWidth="1"/>
    <col min="6425" max="6425" width="11.85546875" customWidth="1"/>
    <col min="6426" max="6426" width="15.7109375" customWidth="1"/>
    <col min="6427" max="6427" width="1.5703125" customWidth="1"/>
    <col min="6428" max="6428" width="10.5703125" customWidth="1"/>
    <col min="6429" max="6429" width="20.7109375" customWidth="1"/>
    <col min="6430" max="6430" width="2" customWidth="1"/>
    <col min="6431" max="6431" width="10.140625" customWidth="1"/>
    <col min="6432" max="6432" width="13.7109375" customWidth="1"/>
    <col min="6433" max="6433" width="16.5703125" customWidth="1"/>
    <col min="6434" max="6434" width="16" customWidth="1"/>
    <col min="6435" max="6644" width="9.42578125" customWidth="1"/>
    <col min="6645" max="6645" width="7.140625" customWidth="1"/>
    <col min="6646" max="6646" width="35.28515625" customWidth="1"/>
    <col min="6647" max="6647" width="6.7109375" customWidth="1"/>
    <col min="6648" max="6648" width="5.7109375" customWidth="1"/>
    <col min="6649" max="6649" width="5.85546875" customWidth="1"/>
    <col min="6650" max="6650" width="7.85546875" customWidth="1"/>
    <col min="6657" max="6657" width="7.140625" customWidth="1"/>
    <col min="6658" max="6658" width="39.42578125" customWidth="1"/>
    <col min="6659" max="6659" width="6.7109375" customWidth="1"/>
    <col min="6660" max="6660" width="5.7109375" customWidth="1"/>
    <col min="6661" max="6661" width="5.85546875" customWidth="1"/>
    <col min="6662" max="6662" width="7.85546875" customWidth="1"/>
    <col min="6663" max="6663" width="14.28515625" customWidth="1"/>
    <col min="6664" max="6664" width="14" customWidth="1"/>
    <col min="6665" max="6679" width="0" hidden="1" customWidth="1"/>
    <col min="6680" max="6680" width="11.5703125" customWidth="1"/>
    <col min="6681" max="6681" width="11.85546875" customWidth="1"/>
    <col min="6682" max="6682" width="15.7109375" customWidth="1"/>
    <col min="6683" max="6683" width="1.5703125" customWidth="1"/>
    <col min="6684" max="6684" width="10.5703125" customWidth="1"/>
    <col min="6685" max="6685" width="20.7109375" customWidth="1"/>
    <col min="6686" max="6686" width="2" customWidth="1"/>
    <col min="6687" max="6687" width="10.140625" customWidth="1"/>
    <col min="6688" max="6688" width="13.7109375" customWidth="1"/>
    <col min="6689" max="6689" width="16.5703125" customWidth="1"/>
    <col min="6690" max="6690" width="16" customWidth="1"/>
    <col min="6691" max="6900" width="9.42578125" customWidth="1"/>
    <col min="6901" max="6901" width="7.140625" customWidth="1"/>
    <col min="6902" max="6902" width="35.28515625" customWidth="1"/>
    <col min="6903" max="6903" width="6.7109375" customWidth="1"/>
    <col min="6904" max="6904" width="5.7109375" customWidth="1"/>
    <col min="6905" max="6905" width="5.85546875" customWidth="1"/>
    <col min="6906" max="6906" width="7.85546875" customWidth="1"/>
    <col min="6913" max="6913" width="7.140625" customWidth="1"/>
    <col min="6914" max="6914" width="39.42578125" customWidth="1"/>
    <col min="6915" max="6915" width="6.7109375" customWidth="1"/>
    <col min="6916" max="6916" width="5.7109375" customWidth="1"/>
    <col min="6917" max="6917" width="5.85546875" customWidth="1"/>
    <col min="6918" max="6918" width="7.85546875" customWidth="1"/>
    <col min="6919" max="6919" width="14.28515625" customWidth="1"/>
    <col min="6920" max="6920" width="14" customWidth="1"/>
    <col min="6921" max="6935" width="0" hidden="1" customWidth="1"/>
    <col min="6936" max="6936" width="11.5703125" customWidth="1"/>
    <col min="6937" max="6937" width="11.85546875" customWidth="1"/>
    <col min="6938" max="6938" width="15.7109375" customWidth="1"/>
    <col min="6939" max="6939" width="1.5703125" customWidth="1"/>
    <col min="6940" max="6940" width="10.5703125" customWidth="1"/>
    <col min="6941" max="6941" width="20.7109375" customWidth="1"/>
    <col min="6942" max="6942" width="2" customWidth="1"/>
    <col min="6943" max="6943" width="10.140625" customWidth="1"/>
    <col min="6944" max="6944" width="13.7109375" customWidth="1"/>
    <col min="6945" max="6945" width="16.5703125" customWidth="1"/>
    <col min="6946" max="6946" width="16" customWidth="1"/>
    <col min="6947" max="7156" width="9.42578125" customWidth="1"/>
    <col min="7157" max="7157" width="7.140625" customWidth="1"/>
    <col min="7158" max="7158" width="35.28515625" customWidth="1"/>
    <col min="7159" max="7159" width="6.7109375" customWidth="1"/>
    <col min="7160" max="7160" width="5.7109375" customWidth="1"/>
    <col min="7161" max="7161" width="5.85546875" customWidth="1"/>
    <col min="7162" max="7162" width="7.85546875" customWidth="1"/>
    <col min="7169" max="7169" width="7.140625" customWidth="1"/>
    <col min="7170" max="7170" width="39.42578125" customWidth="1"/>
    <col min="7171" max="7171" width="6.7109375" customWidth="1"/>
    <col min="7172" max="7172" width="5.7109375" customWidth="1"/>
    <col min="7173" max="7173" width="5.85546875" customWidth="1"/>
    <col min="7174" max="7174" width="7.85546875" customWidth="1"/>
    <col min="7175" max="7175" width="14.28515625" customWidth="1"/>
    <col min="7176" max="7176" width="14" customWidth="1"/>
    <col min="7177" max="7191" width="0" hidden="1" customWidth="1"/>
    <col min="7192" max="7192" width="11.5703125" customWidth="1"/>
    <col min="7193" max="7193" width="11.85546875" customWidth="1"/>
    <col min="7194" max="7194" width="15.7109375" customWidth="1"/>
    <col min="7195" max="7195" width="1.5703125" customWidth="1"/>
    <col min="7196" max="7196" width="10.5703125" customWidth="1"/>
    <col min="7197" max="7197" width="20.7109375" customWidth="1"/>
    <col min="7198" max="7198" width="2" customWidth="1"/>
    <col min="7199" max="7199" width="10.140625" customWidth="1"/>
    <col min="7200" max="7200" width="13.7109375" customWidth="1"/>
    <col min="7201" max="7201" width="16.5703125" customWidth="1"/>
    <col min="7202" max="7202" width="16" customWidth="1"/>
    <col min="7203" max="7412" width="9.42578125" customWidth="1"/>
    <col min="7413" max="7413" width="7.140625" customWidth="1"/>
    <col min="7414" max="7414" width="35.28515625" customWidth="1"/>
    <col min="7415" max="7415" width="6.7109375" customWidth="1"/>
    <col min="7416" max="7416" width="5.7109375" customWidth="1"/>
    <col min="7417" max="7417" width="5.85546875" customWidth="1"/>
    <col min="7418" max="7418" width="7.85546875" customWidth="1"/>
    <col min="7425" max="7425" width="7.140625" customWidth="1"/>
    <col min="7426" max="7426" width="39.42578125" customWidth="1"/>
    <col min="7427" max="7427" width="6.7109375" customWidth="1"/>
    <col min="7428" max="7428" width="5.7109375" customWidth="1"/>
    <col min="7429" max="7429" width="5.85546875" customWidth="1"/>
    <col min="7430" max="7430" width="7.85546875" customWidth="1"/>
    <col min="7431" max="7431" width="14.28515625" customWidth="1"/>
    <col min="7432" max="7432" width="14" customWidth="1"/>
    <col min="7433" max="7447" width="0" hidden="1" customWidth="1"/>
    <col min="7448" max="7448" width="11.5703125" customWidth="1"/>
    <col min="7449" max="7449" width="11.85546875" customWidth="1"/>
    <col min="7450" max="7450" width="15.7109375" customWidth="1"/>
    <col min="7451" max="7451" width="1.5703125" customWidth="1"/>
    <col min="7452" max="7452" width="10.5703125" customWidth="1"/>
    <col min="7453" max="7453" width="20.7109375" customWidth="1"/>
    <col min="7454" max="7454" width="2" customWidth="1"/>
    <col min="7455" max="7455" width="10.140625" customWidth="1"/>
    <col min="7456" max="7456" width="13.7109375" customWidth="1"/>
    <col min="7457" max="7457" width="16.5703125" customWidth="1"/>
    <col min="7458" max="7458" width="16" customWidth="1"/>
    <col min="7459" max="7668" width="9.42578125" customWidth="1"/>
    <col min="7669" max="7669" width="7.140625" customWidth="1"/>
    <col min="7670" max="7670" width="35.28515625" customWidth="1"/>
    <col min="7671" max="7671" width="6.7109375" customWidth="1"/>
    <col min="7672" max="7672" width="5.7109375" customWidth="1"/>
    <col min="7673" max="7673" width="5.85546875" customWidth="1"/>
    <col min="7674" max="7674" width="7.85546875" customWidth="1"/>
    <col min="7681" max="7681" width="7.140625" customWidth="1"/>
    <col min="7682" max="7682" width="39.42578125" customWidth="1"/>
    <col min="7683" max="7683" width="6.7109375" customWidth="1"/>
    <col min="7684" max="7684" width="5.7109375" customWidth="1"/>
    <col min="7685" max="7685" width="5.85546875" customWidth="1"/>
    <col min="7686" max="7686" width="7.85546875" customWidth="1"/>
    <col min="7687" max="7687" width="14.28515625" customWidth="1"/>
    <col min="7688" max="7688" width="14" customWidth="1"/>
    <col min="7689" max="7703" width="0" hidden="1" customWidth="1"/>
    <col min="7704" max="7704" width="11.5703125" customWidth="1"/>
    <col min="7705" max="7705" width="11.85546875" customWidth="1"/>
    <col min="7706" max="7706" width="15.7109375" customWidth="1"/>
    <col min="7707" max="7707" width="1.5703125" customWidth="1"/>
    <col min="7708" max="7708" width="10.5703125" customWidth="1"/>
    <col min="7709" max="7709" width="20.7109375" customWidth="1"/>
    <col min="7710" max="7710" width="2" customWidth="1"/>
    <col min="7711" max="7711" width="10.140625" customWidth="1"/>
    <col min="7712" max="7712" width="13.7109375" customWidth="1"/>
    <col min="7713" max="7713" width="16.5703125" customWidth="1"/>
    <col min="7714" max="7714" width="16" customWidth="1"/>
    <col min="7715" max="7924" width="9.42578125" customWidth="1"/>
    <col min="7925" max="7925" width="7.140625" customWidth="1"/>
    <col min="7926" max="7926" width="35.28515625" customWidth="1"/>
    <col min="7927" max="7927" width="6.7109375" customWidth="1"/>
    <col min="7928" max="7928" width="5.7109375" customWidth="1"/>
    <col min="7929" max="7929" width="5.85546875" customWidth="1"/>
    <col min="7930" max="7930" width="7.85546875" customWidth="1"/>
    <col min="7937" max="7937" width="7.140625" customWidth="1"/>
    <col min="7938" max="7938" width="39.42578125" customWidth="1"/>
    <col min="7939" max="7939" width="6.7109375" customWidth="1"/>
    <col min="7940" max="7940" width="5.7109375" customWidth="1"/>
    <col min="7941" max="7941" width="5.85546875" customWidth="1"/>
    <col min="7942" max="7942" width="7.85546875" customWidth="1"/>
    <col min="7943" max="7943" width="14.28515625" customWidth="1"/>
    <col min="7944" max="7944" width="14" customWidth="1"/>
    <col min="7945" max="7959" width="0" hidden="1" customWidth="1"/>
    <col min="7960" max="7960" width="11.5703125" customWidth="1"/>
    <col min="7961" max="7961" width="11.85546875" customWidth="1"/>
    <col min="7962" max="7962" width="15.7109375" customWidth="1"/>
    <col min="7963" max="7963" width="1.5703125" customWidth="1"/>
    <col min="7964" max="7964" width="10.5703125" customWidth="1"/>
    <col min="7965" max="7965" width="20.7109375" customWidth="1"/>
    <col min="7966" max="7966" width="2" customWidth="1"/>
    <col min="7967" max="7967" width="10.140625" customWidth="1"/>
    <col min="7968" max="7968" width="13.7109375" customWidth="1"/>
    <col min="7969" max="7969" width="16.5703125" customWidth="1"/>
    <col min="7970" max="7970" width="16" customWidth="1"/>
    <col min="7971" max="8180" width="9.42578125" customWidth="1"/>
    <col min="8181" max="8181" width="7.140625" customWidth="1"/>
    <col min="8182" max="8182" width="35.28515625" customWidth="1"/>
    <col min="8183" max="8183" width="6.7109375" customWidth="1"/>
    <col min="8184" max="8184" width="5.7109375" customWidth="1"/>
    <col min="8185" max="8185" width="5.85546875" customWidth="1"/>
    <col min="8186" max="8186" width="7.85546875" customWidth="1"/>
    <col min="8193" max="8193" width="7.140625" customWidth="1"/>
    <col min="8194" max="8194" width="39.42578125" customWidth="1"/>
    <col min="8195" max="8195" width="6.7109375" customWidth="1"/>
    <col min="8196" max="8196" width="5.7109375" customWidth="1"/>
    <col min="8197" max="8197" width="5.85546875" customWidth="1"/>
    <col min="8198" max="8198" width="7.85546875" customWidth="1"/>
    <col min="8199" max="8199" width="14.28515625" customWidth="1"/>
    <col min="8200" max="8200" width="14" customWidth="1"/>
    <col min="8201" max="8215" width="0" hidden="1" customWidth="1"/>
    <col min="8216" max="8216" width="11.5703125" customWidth="1"/>
    <col min="8217" max="8217" width="11.85546875" customWidth="1"/>
    <col min="8218" max="8218" width="15.7109375" customWidth="1"/>
    <col min="8219" max="8219" width="1.5703125" customWidth="1"/>
    <col min="8220" max="8220" width="10.5703125" customWidth="1"/>
    <col min="8221" max="8221" width="20.7109375" customWidth="1"/>
    <col min="8222" max="8222" width="2" customWidth="1"/>
    <col min="8223" max="8223" width="10.140625" customWidth="1"/>
    <col min="8224" max="8224" width="13.7109375" customWidth="1"/>
    <col min="8225" max="8225" width="16.5703125" customWidth="1"/>
    <col min="8226" max="8226" width="16" customWidth="1"/>
    <col min="8227" max="8436" width="9.42578125" customWidth="1"/>
    <col min="8437" max="8437" width="7.140625" customWidth="1"/>
    <col min="8438" max="8438" width="35.28515625" customWidth="1"/>
    <col min="8439" max="8439" width="6.7109375" customWidth="1"/>
    <col min="8440" max="8440" width="5.7109375" customWidth="1"/>
    <col min="8441" max="8441" width="5.85546875" customWidth="1"/>
    <col min="8442" max="8442" width="7.85546875" customWidth="1"/>
    <col min="8449" max="8449" width="7.140625" customWidth="1"/>
    <col min="8450" max="8450" width="39.42578125" customWidth="1"/>
    <col min="8451" max="8451" width="6.7109375" customWidth="1"/>
    <col min="8452" max="8452" width="5.7109375" customWidth="1"/>
    <col min="8453" max="8453" width="5.85546875" customWidth="1"/>
    <col min="8454" max="8454" width="7.85546875" customWidth="1"/>
    <col min="8455" max="8455" width="14.28515625" customWidth="1"/>
    <col min="8456" max="8456" width="14" customWidth="1"/>
    <col min="8457" max="8471" width="0" hidden="1" customWidth="1"/>
    <col min="8472" max="8472" width="11.5703125" customWidth="1"/>
    <col min="8473" max="8473" width="11.85546875" customWidth="1"/>
    <col min="8474" max="8474" width="15.7109375" customWidth="1"/>
    <col min="8475" max="8475" width="1.5703125" customWidth="1"/>
    <col min="8476" max="8476" width="10.5703125" customWidth="1"/>
    <col min="8477" max="8477" width="20.7109375" customWidth="1"/>
    <col min="8478" max="8478" width="2" customWidth="1"/>
    <col min="8479" max="8479" width="10.140625" customWidth="1"/>
    <col min="8480" max="8480" width="13.7109375" customWidth="1"/>
    <col min="8481" max="8481" width="16.5703125" customWidth="1"/>
    <col min="8482" max="8482" width="16" customWidth="1"/>
    <col min="8483" max="8692" width="9.42578125" customWidth="1"/>
    <col min="8693" max="8693" width="7.140625" customWidth="1"/>
    <col min="8694" max="8694" width="35.28515625" customWidth="1"/>
    <col min="8695" max="8695" width="6.7109375" customWidth="1"/>
    <col min="8696" max="8696" width="5.7109375" customWidth="1"/>
    <col min="8697" max="8697" width="5.85546875" customWidth="1"/>
    <col min="8698" max="8698" width="7.85546875" customWidth="1"/>
    <col min="8705" max="8705" width="7.140625" customWidth="1"/>
    <col min="8706" max="8706" width="39.42578125" customWidth="1"/>
    <col min="8707" max="8707" width="6.7109375" customWidth="1"/>
    <col min="8708" max="8708" width="5.7109375" customWidth="1"/>
    <col min="8709" max="8709" width="5.85546875" customWidth="1"/>
    <col min="8710" max="8710" width="7.85546875" customWidth="1"/>
    <col min="8711" max="8711" width="14.28515625" customWidth="1"/>
    <col min="8712" max="8712" width="14" customWidth="1"/>
    <col min="8713" max="8727" width="0" hidden="1" customWidth="1"/>
    <col min="8728" max="8728" width="11.5703125" customWidth="1"/>
    <col min="8729" max="8729" width="11.85546875" customWidth="1"/>
    <col min="8730" max="8730" width="15.7109375" customWidth="1"/>
    <col min="8731" max="8731" width="1.5703125" customWidth="1"/>
    <col min="8732" max="8732" width="10.5703125" customWidth="1"/>
    <col min="8733" max="8733" width="20.7109375" customWidth="1"/>
    <col min="8734" max="8734" width="2" customWidth="1"/>
    <col min="8735" max="8735" width="10.140625" customWidth="1"/>
    <col min="8736" max="8736" width="13.7109375" customWidth="1"/>
    <col min="8737" max="8737" width="16.5703125" customWidth="1"/>
    <col min="8738" max="8738" width="16" customWidth="1"/>
    <col min="8739" max="8948" width="9.42578125" customWidth="1"/>
    <col min="8949" max="8949" width="7.140625" customWidth="1"/>
    <col min="8950" max="8950" width="35.28515625" customWidth="1"/>
    <col min="8951" max="8951" width="6.7109375" customWidth="1"/>
    <col min="8952" max="8952" width="5.7109375" customWidth="1"/>
    <col min="8953" max="8953" width="5.85546875" customWidth="1"/>
    <col min="8954" max="8954" width="7.85546875" customWidth="1"/>
    <col min="8961" max="8961" width="7.140625" customWidth="1"/>
    <col min="8962" max="8962" width="39.42578125" customWidth="1"/>
    <col min="8963" max="8963" width="6.7109375" customWidth="1"/>
    <col min="8964" max="8964" width="5.7109375" customWidth="1"/>
    <col min="8965" max="8965" width="5.85546875" customWidth="1"/>
    <col min="8966" max="8966" width="7.85546875" customWidth="1"/>
    <col min="8967" max="8967" width="14.28515625" customWidth="1"/>
    <col min="8968" max="8968" width="14" customWidth="1"/>
    <col min="8969" max="8983" width="0" hidden="1" customWidth="1"/>
    <col min="8984" max="8984" width="11.5703125" customWidth="1"/>
    <col min="8985" max="8985" width="11.85546875" customWidth="1"/>
    <col min="8986" max="8986" width="15.7109375" customWidth="1"/>
    <col min="8987" max="8987" width="1.5703125" customWidth="1"/>
    <col min="8988" max="8988" width="10.5703125" customWidth="1"/>
    <col min="8989" max="8989" width="20.7109375" customWidth="1"/>
    <col min="8990" max="8990" width="2" customWidth="1"/>
    <col min="8991" max="8991" width="10.140625" customWidth="1"/>
    <col min="8992" max="8992" width="13.7109375" customWidth="1"/>
    <col min="8993" max="8993" width="16.5703125" customWidth="1"/>
    <col min="8994" max="8994" width="16" customWidth="1"/>
    <col min="8995" max="9204" width="9.42578125" customWidth="1"/>
    <col min="9205" max="9205" width="7.140625" customWidth="1"/>
    <col min="9206" max="9206" width="35.28515625" customWidth="1"/>
    <col min="9207" max="9207" width="6.7109375" customWidth="1"/>
    <col min="9208" max="9208" width="5.7109375" customWidth="1"/>
    <col min="9209" max="9209" width="5.85546875" customWidth="1"/>
    <col min="9210" max="9210" width="7.85546875" customWidth="1"/>
    <col min="9217" max="9217" width="7.140625" customWidth="1"/>
    <col min="9218" max="9218" width="39.42578125" customWidth="1"/>
    <col min="9219" max="9219" width="6.7109375" customWidth="1"/>
    <col min="9220" max="9220" width="5.7109375" customWidth="1"/>
    <col min="9221" max="9221" width="5.85546875" customWidth="1"/>
    <col min="9222" max="9222" width="7.85546875" customWidth="1"/>
    <col min="9223" max="9223" width="14.28515625" customWidth="1"/>
    <col min="9224" max="9224" width="14" customWidth="1"/>
    <col min="9225" max="9239" width="0" hidden="1" customWidth="1"/>
    <col min="9240" max="9240" width="11.5703125" customWidth="1"/>
    <col min="9241" max="9241" width="11.85546875" customWidth="1"/>
    <col min="9242" max="9242" width="15.7109375" customWidth="1"/>
    <col min="9243" max="9243" width="1.5703125" customWidth="1"/>
    <col min="9244" max="9244" width="10.5703125" customWidth="1"/>
    <col min="9245" max="9245" width="20.7109375" customWidth="1"/>
    <col min="9246" max="9246" width="2" customWidth="1"/>
    <col min="9247" max="9247" width="10.140625" customWidth="1"/>
    <col min="9248" max="9248" width="13.7109375" customWidth="1"/>
    <col min="9249" max="9249" width="16.5703125" customWidth="1"/>
    <col min="9250" max="9250" width="16" customWidth="1"/>
    <col min="9251" max="9460" width="9.42578125" customWidth="1"/>
    <col min="9461" max="9461" width="7.140625" customWidth="1"/>
    <col min="9462" max="9462" width="35.28515625" customWidth="1"/>
    <col min="9463" max="9463" width="6.7109375" customWidth="1"/>
    <col min="9464" max="9464" width="5.7109375" customWidth="1"/>
    <col min="9465" max="9465" width="5.85546875" customWidth="1"/>
    <col min="9466" max="9466" width="7.85546875" customWidth="1"/>
    <col min="9473" max="9473" width="7.140625" customWidth="1"/>
    <col min="9474" max="9474" width="39.42578125" customWidth="1"/>
    <col min="9475" max="9475" width="6.7109375" customWidth="1"/>
    <col min="9476" max="9476" width="5.7109375" customWidth="1"/>
    <col min="9477" max="9477" width="5.85546875" customWidth="1"/>
    <col min="9478" max="9478" width="7.85546875" customWidth="1"/>
    <col min="9479" max="9479" width="14.28515625" customWidth="1"/>
    <col min="9480" max="9480" width="14" customWidth="1"/>
    <col min="9481" max="9495" width="0" hidden="1" customWidth="1"/>
    <col min="9496" max="9496" width="11.5703125" customWidth="1"/>
    <col min="9497" max="9497" width="11.85546875" customWidth="1"/>
    <col min="9498" max="9498" width="15.7109375" customWidth="1"/>
    <col min="9499" max="9499" width="1.5703125" customWidth="1"/>
    <col min="9500" max="9500" width="10.5703125" customWidth="1"/>
    <col min="9501" max="9501" width="20.7109375" customWidth="1"/>
    <col min="9502" max="9502" width="2" customWidth="1"/>
    <col min="9503" max="9503" width="10.140625" customWidth="1"/>
    <col min="9504" max="9504" width="13.7109375" customWidth="1"/>
    <col min="9505" max="9505" width="16.5703125" customWidth="1"/>
    <col min="9506" max="9506" width="16" customWidth="1"/>
    <col min="9507" max="9716" width="9.42578125" customWidth="1"/>
    <col min="9717" max="9717" width="7.140625" customWidth="1"/>
    <col min="9718" max="9718" width="35.28515625" customWidth="1"/>
    <col min="9719" max="9719" width="6.7109375" customWidth="1"/>
    <col min="9720" max="9720" width="5.7109375" customWidth="1"/>
    <col min="9721" max="9721" width="5.85546875" customWidth="1"/>
    <col min="9722" max="9722" width="7.85546875" customWidth="1"/>
    <col min="9729" max="9729" width="7.140625" customWidth="1"/>
    <col min="9730" max="9730" width="39.42578125" customWidth="1"/>
    <col min="9731" max="9731" width="6.7109375" customWidth="1"/>
    <col min="9732" max="9732" width="5.7109375" customWidth="1"/>
    <col min="9733" max="9733" width="5.85546875" customWidth="1"/>
    <col min="9734" max="9734" width="7.85546875" customWidth="1"/>
    <col min="9735" max="9735" width="14.28515625" customWidth="1"/>
    <col min="9736" max="9736" width="14" customWidth="1"/>
    <col min="9737" max="9751" width="0" hidden="1" customWidth="1"/>
    <col min="9752" max="9752" width="11.5703125" customWidth="1"/>
    <col min="9753" max="9753" width="11.85546875" customWidth="1"/>
    <col min="9754" max="9754" width="15.7109375" customWidth="1"/>
    <col min="9755" max="9755" width="1.5703125" customWidth="1"/>
    <col min="9756" max="9756" width="10.5703125" customWidth="1"/>
    <col min="9757" max="9757" width="20.7109375" customWidth="1"/>
    <col min="9758" max="9758" width="2" customWidth="1"/>
    <col min="9759" max="9759" width="10.140625" customWidth="1"/>
    <col min="9760" max="9760" width="13.7109375" customWidth="1"/>
    <col min="9761" max="9761" width="16.5703125" customWidth="1"/>
    <col min="9762" max="9762" width="16" customWidth="1"/>
    <col min="9763" max="9972" width="9.42578125" customWidth="1"/>
    <col min="9973" max="9973" width="7.140625" customWidth="1"/>
    <col min="9974" max="9974" width="35.28515625" customWidth="1"/>
    <col min="9975" max="9975" width="6.7109375" customWidth="1"/>
    <col min="9976" max="9976" width="5.7109375" customWidth="1"/>
    <col min="9977" max="9977" width="5.85546875" customWidth="1"/>
    <col min="9978" max="9978" width="7.85546875" customWidth="1"/>
    <col min="9985" max="9985" width="7.140625" customWidth="1"/>
    <col min="9986" max="9986" width="39.42578125" customWidth="1"/>
    <col min="9987" max="9987" width="6.7109375" customWidth="1"/>
    <col min="9988" max="9988" width="5.7109375" customWidth="1"/>
    <col min="9989" max="9989" width="5.85546875" customWidth="1"/>
    <col min="9990" max="9990" width="7.85546875" customWidth="1"/>
    <col min="9991" max="9991" width="14.28515625" customWidth="1"/>
    <col min="9992" max="9992" width="14" customWidth="1"/>
    <col min="9993" max="10007" width="0" hidden="1" customWidth="1"/>
    <col min="10008" max="10008" width="11.5703125" customWidth="1"/>
    <col min="10009" max="10009" width="11.85546875" customWidth="1"/>
    <col min="10010" max="10010" width="15.7109375" customWidth="1"/>
    <col min="10011" max="10011" width="1.5703125" customWidth="1"/>
    <col min="10012" max="10012" width="10.5703125" customWidth="1"/>
    <col min="10013" max="10013" width="20.7109375" customWidth="1"/>
    <col min="10014" max="10014" width="2" customWidth="1"/>
    <col min="10015" max="10015" width="10.140625" customWidth="1"/>
    <col min="10016" max="10016" width="13.7109375" customWidth="1"/>
    <col min="10017" max="10017" width="16.5703125" customWidth="1"/>
    <col min="10018" max="10018" width="16" customWidth="1"/>
    <col min="10019" max="10228" width="9.42578125" customWidth="1"/>
    <col min="10229" max="10229" width="7.140625" customWidth="1"/>
    <col min="10230" max="10230" width="35.28515625" customWidth="1"/>
    <col min="10231" max="10231" width="6.7109375" customWidth="1"/>
    <col min="10232" max="10232" width="5.7109375" customWidth="1"/>
    <col min="10233" max="10233" width="5.85546875" customWidth="1"/>
    <col min="10234" max="10234" width="7.85546875" customWidth="1"/>
    <col min="10241" max="10241" width="7.140625" customWidth="1"/>
    <col min="10242" max="10242" width="39.42578125" customWidth="1"/>
    <col min="10243" max="10243" width="6.7109375" customWidth="1"/>
    <col min="10244" max="10244" width="5.7109375" customWidth="1"/>
    <col min="10245" max="10245" width="5.85546875" customWidth="1"/>
    <col min="10246" max="10246" width="7.85546875" customWidth="1"/>
    <col min="10247" max="10247" width="14.28515625" customWidth="1"/>
    <col min="10248" max="10248" width="14" customWidth="1"/>
    <col min="10249" max="10263" width="0" hidden="1" customWidth="1"/>
    <col min="10264" max="10264" width="11.5703125" customWidth="1"/>
    <col min="10265" max="10265" width="11.85546875" customWidth="1"/>
    <col min="10266" max="10266" width="15.7109375" customWidth="1"/>
    <col min="10267" max="10267" width="1.5703125" customWidth="1"/>
    <col min="10268" max="10268" width="10.5703125" customWidth="1"/>
    <col min="10269" max="10269" width="20.7109375" customWidth="1"/>
    <col min="10270" max="10270" width="2" customWidth="1"/>
    <col min="10271" max="10271" width="10.140625" customWidth="1"/>
    <col min="10272" max="10272" width="13.7109375" customWidth="1"/>
    <col min="10273" max="10273" width="16.5703125" customWidth="1"/>
    <col min="10274" max="10274" width="16" customWidth="1"/>
    <col min="10275" max="10484" width="9.42578125" customWidth="1"/>
    <col min="10485" max="10485" width="7.140625" customWidth="1"/>
    <col min="10486" max="10486" width="35.28515625" customWidth="1"/>
    <col min="10487" max="10487" width="6.7109375" customWidth="1"/>
    <col min="10488" max="10488" width="5.7109375" customWidth="1"/>
    <col min="10489" max="10489" width="5.85546875" customWidth="1"/>
    <col min="10490" max="10490" width="7.85546875" customWidth="1"/>
    <col min="10497" max="10497" width="7.140625" customWidth="1"/>
    <col min="10498" max="10498" width="39.42578125" customWidth="1"/>
    <col min="10499" max="10499" width="6.7109375" customWidth="1"/>
    <col min="10500" max="10500" width="5.7109375" customWidth="1"/>
    <col min="10501" max="10501" width="5.85546875" customWidth="1"/>
    <col min="10502" max="10502" width="7.85546875" customWidth="1"/>
    <col min="10503" max="10503" width="14.28515625" customWidth="1"/>
    <col min="10504" max="10504" width="14" customWidth="1"/>
    <col min="10505" max="10519" width="0" hidden="1" customWidth="1"/>
    <col min="10520" max="10520" width="11.5703125" customWidth="1"/>
    <col min="10521" max="10521" width="11.85546875" customWidth="1"/>
    <col min="10522" max="10522" width="15.7109375" customWidth="1"/>
    <col min="10523" max="10523" width="1.5703125" customWidth="1"/>
    <col min="10524" max="10524" width="10.5703125" customWidth="1"/>
    <col min="10525" max="10525" width="20.7109375" customWidth="1"/>
    <col min="10526" max="10526" width="2" customWidth="1"/>
    <col min="10527" max="10527" width="10.140625" customWidth="1"/>
    <col min="10528" max="10528" width="13.7109375" customWidth="1"/>
    <col min="10529" max="10529" width="16.5703125" customWidth="1"/>
    <col min="10530" max="10530" width="16" customWidth="1"/>
    <col min="10531" max="10740" width="9.42578125" customWidth="1"/>
    <col min="10741" max="10741" width="7.140625" customWidth="1"/>
    <col min="10742" max="10742" width="35.28515625" customWidth="1"/>
    <col min="10743" max="10743" width="6.7109375" customWidth="1"/>
    <col min="10744" max="10744" width="5.7109375" customWidth="1"/>
    <col min="10745" max="10745" width="5.85546875" customWidth="1"/>
    <col min="10746" max="10746" width="7.85546875" customWidth="1"/>
    <col min="10753" max="10753" width="7.140625" customWidth="1"/>
    <col min="10754" max="10754" width="39.42578125" customWidth="1"/>
    <col min="10755" max="10755" width="6.7109375" customWidth="1"/>
    <col min="10756" max="10756" width="5.7109375" customWidth="1"/>
    <col min="10757" max="10757" width="5.85546875" customWidth="1"/>
    <col min="10758" max="10758" width="7.85546875" customWidth="1"/>
    <col min="10759" max="10759" width="14.28515625" customWidth="1"/>
    <col min="10760" max="10760" width="14" customWidth="1"/>
    <col min="10761" max="10775" width="0" hidden="1" customWidth="1"/>
    <col min="10776" max="10776" width="11.5703125" customWidth="1"/>
    <col min="10777" max="10777" width="11.85546875" customWidth="1"/>
    <col min="10778" max="10778" width="15.7109375" customWidth="1"/>
    <col min="10779" max="10779" width="1.5703125" customWidth="1"/>
    <col min="10780" max="10780" width="10.5703125" customWidth="1"/>
    <col min="10781" max="10781" width="20.7109375" customWidth="1"/>
    <col min="10782" max="10782" width="2" customWidth="1"/>
    <col min="10783" max="10783" width="10.140625" customWidth="1"/>
    <col min="10784" max="10784" width="13.7109375" customWidth="1"/>
    <col min="10785" max="10785" width="16.5703125" customWidth="1"/>
    <col min="10786" max="10786" width="16" customWidth="1"/>
    <col min="10787" max="10996" width="9.42578125" customWidth="1"/>
    <col min="10997" max="10997" width="7.140625" customWidth="1"/>
    <col min="10998" max="10998" width="35.28515625" customWidth="1"/>
    <col min="10999" max="10999" width="6.7109375" customWidth="1"/>
    <col min="11000" max="11000" width="5.7109375" customWidth="1"/>
    <col min="11001" max="11001" width="5.85546875" customWidth="1"/>
    <col min="11002" max="11002" width="7.85546875" customWidth="1"/>
    <col min="11009" max="11009" width="7.140625" customWidth="1"/>
    <col min="11010" max="11010" width="39.42578125" customWidth="1"/>
    <col min="11011" max="11011" width="6.7109375" customWidth="1"/>
    <col min="11012" max="11012" width="5.7109375" customWidth="1"/>
    <col min="11013" max="11013" width="5.85546875" customWidth="1"/>
    <col min="11014" max="11014" width="7.85546875" customWidth="1"/>
    <col min="11015" max="11015" width="14.28515625" customWidth="1"/>
    <col min="11016" max="11016" width="14" customWidth="1"/>
    <col min="11017" max="11031" width="0" hidden="1" customWidth="1"/>
    <col min="11032" max="11032" width="11.5703125" customWidth="1"/>
    <col min="11033" max="11033" width="11.85546875" customWidth="1"/>
    <col min="11034" max="11034" width="15.7109375" customWidth="1"/>
    <col min="11035" max="11035" width="1.5703125" customWidth="1"/>
    <col min="11036" max="11036" width="10.5703125" customWidth="1"/>
    <col min="11037" max="11037" width="20.7109375" customWidth="1"/>
    <col min="11038" max="11038" width="2" customWidth="1"/>
    <col min="11039" max="11039" width="10.140625" customWidth="1"/>
    <col min="11040" max="11040" width="13.7109375" customWidth="1"/>
    <col min="11041" max="11041" width="16.5703125" customWidth="1"/>
    <col min="11042" max="11042" width="16" customWidth="1"/>
    <col min="11043" max="11252" width="9.42578125" customWidth="1"/>
    <col min="11253" max="11253" width="7.140625" customWidth="1"/>
    <col min="11254" max="11254" width="35.28515625" customWidth="1"/>
    <col min="11255" max="11255" width="6.7109375" customWidth="1"/>
    <col min="11256" max="11256" width="5.7109375" customWidth="1"/>
    <col min="11257" max="11257" width="5.85546875" customWidth="1"/>
    <col min="11258" max="11258" width="7.85546875" customWidth="1"/>
    <col min="11265" max="11265" width="7.140625" customWidth="1"/>
    <col min="11266" max="11266" width="39.42578125" customWidth="1"/>
    <col min="11267" max="11267" width="6.7109375" customWidth="1"/>
    <col min="11268" max="11268" width="5.7109375" customWidth="1"/>
    <col min="11269" max="11269" width="5.85546875" customWidth="1"/>
    <col min="11270" max="11270" width="7.85546875" customWidth="1"/>
    <col min="11271" max="11271" width="14.28515625" customWidth="1"/>
    <col min="11272" max="11272" width="14" customWidth="1"/>
    <col min="11273" max="11287" width="0" hidden="1" customWidth="1"/>
    <col min="11288" max="11288" width="11.5703125" customWidth="1"/>
    <col min="11289" max="11289" width="11.85546875" customWidth="1"/>
    <col min="11290" max="11290" width="15.7109375" customWidth="1"/>
    <col min="11291" max="11291" width="1.5703125" customWidth="1"/>
    <col min="11292" max="11292" width="10.5703125" customWidth="1"/>
    <col min="11293" max="11293" width="20.7109375" customWidth="1"/>
    <col min="11294" max="11294" width="2" customWidth="1"/>
    <col min="11295" max="11295" width="10.140625" customWidth="1"/>
    <col min="11296" max="11296" width="13.7109375" customWidth="1"/>
    <col min="11297" max="11297" width="16.5703125" customWidth="1"/>
    <col min="11298" max="11298" width="16" customWidth="1"/>
    <col min="11299" max="11508" width="9.42578125" customWidth="1"/>
    <col min="11509" max="11509" width="7.140625" customWidth="1"/>
    <col min="11510" max="11510" width="35.28515625" customWidth="1"/>
    <col min="11511" max="11511" width="6.7109375" customWidth="1"/>
    <col min="11512" max="11512" width="5.7109375" customWidth="1"/>
    <col min="11513" max="11513" width="5.85546875" customWidth="1"/>
    <col min="11514" max="11514" width="7.85546875" customWidth="1"/>
    <col min="11521" max="11521" width="7.140625" customWidth="1"/>
    <col min="11522" max="11522" width="39.42578125" customWidth="1"/>
    <col min="11523" max="11523" width="6.7109375" customWidth="1"/>
    <col min="11524" max="11524" width="5.7109375" customWidth="1"/>
    <col min="11525" max="11525" width="5.85546875" customWidth="1"/>
    <col min="11526" max="11526" width="7.85546875" customWidth="1"/>
    <col min="11527" max="11527" width="14.28515625" customWidth="1"/>
    <col min="11528" max="11528" width="14" customWidth="1"/>
    <col min="11529" max="11543" width="0" hidden="1" customWidth="1"/>
    <col min="11544" max="11544" width="11.5703125" customWidth="1"/>
    <col min="11545" max="11545" width="11.85546875" customWidth="1"/>
    <col min="11546" max="11546" width="15.7109375" customWidth="1"/>
    <col min="11547" max="11547" width="1.5703125" customWidth="1"/>
    <col min="11548" max="11548" width="10.5703125" customWidth="1"/>
    <col min="11549" max="11549" width="20.7109375" customWidth="1"/>
    <col min="11550" max="11550" width="2" customWidth="1"/>
    <col min="11551" max="11551" width="10.140625" customWidth="1"/>
    <col min="11552" max="11552" width="13.7109375" customWidth="1"/>
    <col min="11553" max="11553" width="16.5703125" customWidth="1"/>
    <col min="11554" max="11554" width="16" customWidth="1"/>
    <col min="11555" max="11764" width="9.42578125" customWidth="1"/>
    <col min="11765" max="11765" width="7.140625" customWidth="1"/>
    <col min="11766" max="11766" width="35.28515625" customWidth="1"/>
    <col min="11767" max="11767" width="6.7109375" customWidth="1"/>
    <col min="11768" max="11768" width="5.7109375" customWidth="1"/>
    <col min="11769" max="11769" width="5.85546875" customWidth="1"/>
    <col min="11770" max="11770" width="7.85546875" customWidth="1"/>
    <col min="11777" max="11777" width="7.140625" customWidth="1"/>
    <col min="11778" max="11778" width="39.42578125" customWidth="1"/>
    <col min="11779" max="11779" width="6.7109375" customWidth="1"/>
    <col min="11780" max="11780" width="5.7109375" customWidth="1"/>
    <col min="11781" max="11781" width="5.85546875" customWidth="1"/>
    <col min="11782" max="11782" width="7.85546875" customWidth="1"/>
    <col min="11783" max="11783" width="14.28515625" customWidth="1"/>
    <col min="11784" max="11784" width="14" customWidth="1"/>
    <col min="11785" max="11799" width="0" hidden="1" customWidth="1"/>
    <col min="11800" max="11800" width="11.5703125" customWidth="1"/>
    <col min="11801" max="11801" width="11.85546875" customWidth="1"/>
    <col min="11802" max="11802" width="15.7109375" customWidth="1"/>
    <col min="11803" max="11803" width="1.5703125" customWidth="1"/>
    <col min="11804" max="11804" width="10.5703125" customWidth="1"/>
    <col min="11805" max="11805" width="20.7109375" customWidth="1"/>
    <col min="11806" max="11806" width="2" customWidth="1"/>
    <col min="11807" max="11807" width="10.140625" customWidth="1"/>
    <col min="11808" max="11808" width="13.7109375" customWidth="1"/>
    <col min="11809" max="11809" width="16.5703125" customWidth="1"/>
    <col min="11810" max="11810" width="16" customWidth="1"/>
    <col min="11811" max="12020" width="9.42578125" customWidth="1"/>
    <col min="12021" max="12021" width="7.140625" customWidth="1"/>
    <col min="12022" max="12022" width="35.28515625" customWidth="1"/>
    <col min="12023" max="12023" width="6.7109375" customWidth="1"/>
    <col min="12024" max="12024" width="5.7109375" customWidth="1"/>
    <col min="12025" max="12025" width="5.85546875" customWidth="1"/>
    <col min="12026" max="12026" width="7.85546875" customWidth="1"/>
    <col min="12033" max="12033" width="7.140625" customWidth="1"/>
    <col min="12034" max="12034" width="39.42578125" customWidth="1"/>
    <col min="12035" max="12035" width="6.7109375" customWidth="1"/>
    <col min="12036" max="12036" width="5.7109375" customWidth="1"/>
    <col min="12037" max="12037" width="5.85546875" customWidth="1"/>
    <col min="12038" max="12038" width="7.85546875" customWidth="1"/>
    <col min="12039" max="12039" width="14.28515625" customWidth="1"/>
    <col min="12040" max="12040" width="14" customWidth="1"/>
    <col min="12041" max="12055" width="0" hidden="1" customWidth="1"/>
    <col min="12056" max="12056" width="11.5703125" customWidth="1"/>
    <col min="12057" max="12057" width="11.85546875" customWidth="1"/>
    <col min="12058" max="12058" width="15.7109375" customWidth="1"/>
    <col min="12059" max="12059" width="1.5703125" customWidth="1"/>
    <col min="12060" max="12060" width="10.5703125" customWidth="1"/>
    <col min="12061" max="12061" width="20.7109375" customWidth="1"/>
    <col min="12062" max="12062" width="2" customWidth="1"/>
    <col min="12063" max="12063" width="10.140625" customWidth="1"/>
    <col min="12064" max="12064" width="13.7109375" customWidth="1"/>
    <col min="12065" max="12065" width="16.5703125" customWidth="1"/>
    <col min="12066" max="12066" width="16" customWidth="1"/>
    <col min="12067" max="12276" width="9.42578125" customWidth="1"/>
    <col min="12277" max="12277" width="7.140625" customWidth="1"/>
    <col min="12278" max="12278" width="35.28515625" customWidth="1"/>
    <col min="12279" max="12279" width="6.7109375" customWidth="1"/>
    <col min="12280" max="12280" width="5.7109375" customWidth="1"/>
    <col min="12281" max="12281" width="5.85546875" customWidth="1"/>
    <col min="12282" max="12282" width="7.85546875" customWidth="1"/>
    <col min="12289" max="12289" width="7.140625" customWidth="1"/>
    <col min="12290" max="12290" width="39.42578125" customWidth="1"/>
    <col min="12291" max="12291" width="6.7109375" customWidth="1"/>
    <col min="12292" max="12292" width="5.7109375" customWidth="1"/>
    <col min="12293" max="12293" width="5.85546875" customWidth="1"/>
    <col min="12294" max="12294" width="7.85546875" customWidth="1"/>
    <col min="12295" max="12295" width="14.28515625" customWidth="1"/>
    <col min="12296" max="12296" width="14" customWidth="1"/>
    <col min="12297" max="12311" width="0" hidden="1" customWidth="1"/>
    <col min="12312" max="12312" width="11.5703125" customWidth="1"/>
    <col min="12313" max="12313" width="11.85546875" customWidth="1"/>
    <col min="12314" max="12314" width="15.7109375" customWidth="1"/>
    <col min="12315" max="12315" width="1.5703125" customWidth="1"/>
    <col min="12316" max="12316" width="10.5703125" customWidth="1"/>
    <col min="12317" max="12317" width="20.7109375" customWidth="1"/>
    <col min="12318" max="12318" width="2" customWidth="1"/>
    <col min="12319" max="12319" width="10.140625" customWidth="1"/>
    <col min="12320" max="12320" width="13.7109375" customWidth="1"/>
    <col min="12321" max="12321" width="16.5703125" customWidth="1"/>
    <col min="12322" max="12322" width="16" customWidth="1"/>
    <col min="12323" max="12532" width="9.42578125" customWidth="1"/>
    <col min="12533" max="12533" width="7.140625" customWidth="1"/>
    <col min="12534" max="12534" width="35.28515625" customWidth="1"/>
    <col min="12535" max="12535" width="6.7109375" customWidth="1"/>
    <col min="12536" max="12536" width="5.7109375" customWidth="1"/>
    <col min="12537" max="12537" width="5.85546875" customWidth="1"/>
    <col min="12538" max="12538" width="7.85546875" customWidth="1"/>
    <col min="12545" max="12545" width="7.140625" customWidth="1"/>
    <col min="12546" max="12546" width="39.42578125" customWidth="1"/>
    <col min="12547" max="12547" width="6.7109375" customWidth="1"/>
    <col min="12548" max="12548" width="5.7109375" customWidth="1"/>
    <col min="12549" max="12549" width="5.85546875" customWidth="1"/>
    <col min="12550" max="12550" width="7.85546875" customWidth="1"/>
    <col min="12551" max="12551" width="14.28515625" customWidth="1"/>
    <col min="12552" max="12552" width="14" customWidth="1"/>
    <col min="12553" max="12567" width="0" hidden="1" customWidth="1"/>
    <col min="12568" max="12568" width="11.5703125" customWidth="1"/>
    <col min="12569" max="12569" width="11.85546875" customWidth="1"/>
    <col min="12570" max="12570" width="15.7109375" customWidth="1"/>
    <col min="12571" max="12571" width="1.5703125" customWidth="1"/>
    <col min="12572" max="12572" width="10.5703125" customWidth="1"/>
    <col min="12573" max="12573" width="20.7109375" customWidth="1"/>
    <col min="12574" max="12574" width="2" customWidth="1"/>
    <col min="12575" max="12575" width="10.140625" customWidth="1"/>
    <col min="12576" max="12576" width="13.7109375" customWidth="1"/>
    <col min="12577" max="12577" width="16.5703125" customWidth="1"/>
    <col min="12578" max="12578" width="16" customWidth="1"/>
    <col min="12579" max="12788" width="9.42578125" customWidth="1"/>
    <col min="12789" max="12789" width="7.140625" customWidth="1"/>
    <col min="12790" max="12790" width="35.28515625" customWidth="1"/>
    <col min="12791" max="12791" width="6.7109375" customWidth="1"/>
    <col min="12792" max="12792" width="5.7109375" customWidth="1"/>
    <col min="12793" max="12793" width="5.85546875" customWidth="1"/>
    <col min="12794" max="12794" width="7.85546875" customWidth="1"/>
    <col min="12801" max="12801" width="7.140625" customWidth="1"/>
    <col min="12802" max="12802" width="39.42578125" customWidth="1"/>
    <col min="12803" max="12803" width="6.7109375" customWidth="1"/>
    <col min="12804" max="12804" width="5.7109375" customWidth="1"/>
    <col min="12805" max="12805" width="5.85546875" customWidth="1"/>
    <col min="12806" max="12806" width="7.85546875" customWidth="1"/>
    <col min="12807" max="12807" width="14.28515625" customWidth="1"/>
    <col min="12808" max="12808" width="14" customWidth="1"/>
    <col min="12809" max="12823" width="0" hidden="1" customWidth="1"/>
    <col min="12824" max="12824" width="11.5703125" customWidth="1"/>
    <col min="12825" max="12825" width="11.85546875" customWidth="1"/>
    <col min="12826" max="12826" width="15.7109375" customWidth="1"/>
    <col min="12827" max="12827" width="1.5703125" customWidth="1"/>
    <col min="12828" max="12828" width="10.5703125" customWidth="1"/>
    <col min="12829" max="12829" width="20.7109375" customWidth="1"/>
    <col min="12830" max="12830" width="2" customWidth="1"/>
    <col min="12831" max="12831" width="10.140625" customWidth="1"/>
    <col min="12832" max="12832" width="13.7109375" customWidth="1"/>
    <col min="12833" max="12833" width="16.5703125" customWidth="1"/>
    <col min="12834" max="12834" width="16" customWidth="1"/>
    <col min="12835" max="13044" width="9.42578125" customWidth="1"/>
    <col min="13045" max="13045" width="7.140625" customWidth="1"/>
    <col min="13046" max="13046" width="35.28515625" customWidth="1"/>
    <col min="13047" max="13047" width="6.7109375" customWidth="1"/>
    <col min="13048" max="13048" width="5.7109375" customWidth="1"/>
    <col min="13049" max="13049" width="5.85546875" customWidth="1"/>
    <col min="13050" max="13050" width="7.85546875" customWidth="1"/>
    <col min="13057" max="13057" width="7.140625" customWidth="1"/>
    <col min="13058" max="13058" width="39.42578125" customWidth="1"/>
    <col min="13059" max="13059" width="6.7109375" customWidth="1"/>
    <col min="13060" max="13060" width="5.7109375" customWidth="1"/>
    <col min="13061" max="13061" width="5.85546875" customWidth="1"/>
    <col min="13062" max="13062" width="7.85546875" customWidth="1"/>
    <col min="13063" max="13063" width="14.28515625" customWidth="1"/>
    <col min="13064" max="13064" width="14" customWidth="1"/>
    <col min="13065" max="13079" width="0" hidden="1" customWidth="1"/>
    <col min="13080" max="13080" width="11.5703125" customWidth="1"/>
    <col min="13081" max="13081" width="11.85546875" customWidth="1"/>
    <col min="13082" max="13082" width="15.7109375" customWidth="1"/>
    <col min="13083" max="13083" width="1.5703125" customWidth="1"/>
    <col min="13084" max="13084" width="10.5703125" customWidth="1"/>
    <col min="13085" max="13085" width="20.7109375" customWidth="1"/>
    <col min="13086" max="13086" width="2" customWidth="1"/>
    <col min="13087" max="13087" width="10.140625" customWidth="1"/>
    <col min="13088" max="13088" width="13.7109375" customWidth="1"/>
    <col min="13089" max="13089" width="16.5703125" customWidth="1"/>
    <col min="13090" max="13090" width="16" customWidth="1"/>
    <col min="13091" max="13300" width="9.42578125" customWidth="1"/>
    <col min="13301" max="13301" width="7.140625" customWidth="1"/>
    <col min="13302" max="13302" width="35.28515625" customWidth="1"/>
    <col min="13303" max="13303" width="6.7109375" customWidth="1"/>
    <col min="13304" max="13304" width="5.7109375" customWidth="1"/>
    <col min="13305" max="13305" width="5.85546875" customWidth="1"/>
    <col min="13306" max="13306" width="7.85546875" customWidth="1"/>
    <col min="13313" max="13313" width="7.140625" customWidth="1"/>
    <col min="13314" max="13314" width="39.42578125" customWidth="1"/>
    <col min="13315" max="13315" width="6.7109375" customWidth="1"/>
    <col min="13316" max="13316" width="5.7109375" customWidth="1"/>
    <col min="13317" max="13317" width="5.85546875" customWidth="1"/>
    <col min="13318" max="13318" width="7.85546875" customWidth="1"/>
    <col min="13319" max="13319" width="14.28515625" customWidth="1"/>
    <col min="13320" max="13320" width="14" customWidth="1"/>
    <col min="13321" max="13335" width="0" hidden="1" customWidth="1"/>
    <col min="13336" max="13336" width="11.5703125" customWidth="1"/>
    <col min="13337" max="13337" width="11.85546875" customWidth="1"/>
    <col min="13338" max="13338" width="15.7109375" customWidth="1"/>
    <col min="13339" max="13339" width="1.5703125" customWidth="1"/>
    <col min="13340" max="13340" width="10.5703125" customWidth="1"/>
    <col min="13341" max="13341" width="20.7109375" customWidth="1"/>
    <col min="13342" max="13342" width="2" customWidth="1"/>
    <col min="13343" max="13343" width="10.140625" customWidth="1"/>
    <col min="13344" max="13344" width="13.7109375" customWidth="1"/>
    <col min="13345" max="13345" width="16.5703125" customWidth="1"/>
    <col min="13346" max="13346" width="16" customWidth="1"/>
    <col min="13347" max="13556" width="9.42578125" customWidth="1"/>
    <col min="13557" max="13557" width="7.140625" customWidth="1"/>
    <col min="13558" max="13558" width="35.28515625" customWidth="1"/>
    <col min="13559" max="13559" width="6.7109375" customWidth="1"/>
    <col min="13560" max="13560" width="5.7109375" customWidth="1"/>
    <col min="13561" max="13561" width="5.85546875" customWidth="1"/>
    <col min="13562" max="13562" width="7.85546875" customWidth="1"/>
    <col min="13569" max="13569" width="7.140625" customWidth="1"/>
    <col min="13570" max="13570" width="39.42578125" customWidth="1"/>
    <col min="13571" max="13571" width="6.7109375" customWidth="1"/>
    <col min="13572" max="13572" width="5.7109375" customWidth="1"/>
    <col min="13573" max="13573" width="5.85546875" customWidth="1"/>
    <col min="13574" max="13574" width="7.85546875" customWidth="1"/>
    <col min="13575" max="13575" width="14.28515625" customWidth="1"/>
    <col min="13576" max="13576" width="14" customWidth="1"/>
    <col min="13577" max="13591" width="0" hidden="1" customWidth="1"/>
    <col min="13592" max="13592" width="11.5703125" customWidth="1"/>
    <col min="13593" max="13593" width="11.85546875" customWidth="1"/>
    <col min="13594" max="13594" width="15.7109375" customWidth="1"/>
    <col min="13595" max="13595" width="1.5703125" customWidth="1"/>
    <col min="13596" max="13596" width="10.5703125" customWidth="1"/>
    <col min="13597" max="13597" width="20.7109375" customWidth="1"/>
    <col min="13598" max="13598" width="2" customWidth="1"/>
    <col min="13599" max="13599" width="10.140625" customWidth="1"/>
    <col min="13600" max="13600" width="13.7109375" customWidth="1"/>
    <col min="13601" max="13601" width="16.5703125" customWidth="1"/>
    <col min="13602" max="13602" width="16" customWidth="1"/>
    <col min="13603" max="13812" width="9.42578125" customWidth="1"/>
    <col min="13813" max="13813" width="7.140625" customWidth="1"/>
    <col min="13814" max="13814" width="35.28515625" customWidth="1"/>
    <col min="13815" max="13815" width="6.7109375" customWidth="1"/>
    <col min="13816" max="13816" width="5.7109375" customWidth="1"/>
    <col min="13817" max="13817" width="5.85546875" customWidth="1"/>
    <col min="13818" max="13818" width="7.85546875" customWidth="1"/>
    <col min="13825" max="13825" width="7.140625" customWidth="1"/>
    <col min="13826" max="13826" width="39.42578125" customWidth="1"/>
    <col min="13827" max="13827" width="6.7109375" customWidth="1"/>
    <col min="13828" max="13828" width="5.7109375" customWidth="1"/>
    <col min="13829" max="13829" width="5.85546875" customWidth="1"/>
    <col min="13830" max="13830" width="7.85546875" customWidth="1"/>
    <col min="13831" max="13831" width="14.28515625" customWidth="1"/>
    <col min="13832" max="13832" width="14" customWidth="1"/>
    <col min="13833" max="13847" width="0" hidden="1" customWidth="1"/>
    <col min="13848" max="13848" width="11.5703125" customWidth="1"/>
    <col min="13849" max="13849" width="11.85546875" customWidth="1"/>
    <col min="13850" max="13850" width="15.7109375" customWidth="1"/>
    <col min="13851" max="13851" width="1.5703125" customWidth="1"/>
    <col min="13852" max="13852" width="10.5703125" customWidth="1"/>
    <col min="13853" max="13853" width="20.7109375" customWidth="1"/>
    <col min="13854" max="13854" width="2" customWidth="1"/>
    <col min="13855" max="13855" width="10.140625" customWidth="1"/>
    <col min="13856" max="13856" width="13.7109375" customWidth="1"/>
    <col min="13857" max="13857" width="16.5703125" customWidth="1"/>
    <col min="13858" max="13858" width="16" customWidth="1"/>
    <col min="13859" max="14068" width="9.42578125" customWidth="1"/>
    <col min="14069" max="14069" width="7.140625" customWidth="1"/>
    <col min="14070" max="14070" width="35.28515625" customWidth="1"/>
    <col min="14071" max="14071" width="6.7109375" customWidth="1"/>
    <col min="14072" max="14072" width="5.7109375" customWidth="1"/>
    <col min="14073" max="14073" width="5.85546875" customWidth="1"/>
    <col min="14074" max="14074" width="7.85546875" customWidth="1"/>
    <col min="14081" max="14081" width="7.140625" customWidth="1"/>
    <col min="14082" max="14082" width="39.42578125" customWidth="1"/>
    <col min="14083" max="14083" width="6.7109375" customWidth="1"/>
    <col min="14084" max="14084" width="5.7109375" customWidth="1"/>
    <col min="14085" max="14085" width="5.85546875" customWidth="1"/>
    <col min="14086" max="14086" width="7.85546875" customWidth="1"/>
    <col min="14087" max="14087" width="14.28515625" customWidth="1"/>
    <col min="14088" max="14088" width="14" customWidth="1"/>
    <col min="14089" max="14103" width="0" hidden="1" customWidth="1"/>
    <col min="14104" max="14104" width="11.5703125" customWidth="1"/>
    <col min="14105" max="14105" width="11.85546875" customWidth="1"/>
    <col min="14106" max="14106" width="15.7109375" customWidth="1"/>
    <col min="14107" max="14107" width="1.5703125" customWidth="1"/>
    <col min="14108" max="14108" width="10.5703125" customWidth="1"/>
    <col min="14109" max="14109" width="20.7109375" customWidth="1"/>
    <col min="14110" max="14110" width="2" customWidth="1"/>
    <col min="14111" max="14111" width="10.140625" customWidth="1"/>
    <col min="14112" max="14112" width="13.7109375" customWidth="1"/>
    <col min="14113" max="14113" width="16.5703125" customWidth="1"/>
    <col min="14114" max="14114" width="16" customWidth="1"/>
    <col min="14115" max="14324" width="9.42578125" customWidth="1"/>
    <col min="14325" max="14325" width="7.140625" customWidth="1"/>
    <col min="14326" max="14326" width="35.28515625" customWidth="1"/>
    <col min="14327" max="14327" width="6.7109375" customWidth="1"/>
    <col min="14328" max="14328" width="5.7109375" customWidth="1"/>
    <col min="14329" max="14329" width="5.85546875" customWidth="1"/>
    <col min="14330" max="14330" width="7.85546875" customWidth="1"/>
    <col min="14337" max="14337" width="7.140625" customWidth="1"/>
    <col min="14338" max="14338" width="39.42578125" customWidth="1"/>
    <col min="14339" max="14339" width="6.7109375" customWidth="1"/>
    <col min="14340" max="14340" width="5.7109375" customWidth="1"/>
    <col min="14341" max="14341" width="5.85546875" customWidth="1"/>
    <col min="14342" max="14342" width="7.85546875" customWidth="1"/>
    <col min="14343" max="14343" width="14.28515625" customWidth="1"/>
    <col min="14344" max="14344" width="14" customWidth="1"/>
    <col min="14345" max="14359" width="0" hidden="1" customWidth="1"/>
    <col min="14360" max="14360" width="11.5703125" customWidth="1"/>
    <col min="14361" max="14361" width="11.85546875" customWidth="1"/>
    <col min="14362" max="14362" width="15.7109375" customWidth="1"/>
    <col min="14363" max="14363" width="1.5703125" customWidth="1"/>
    <col min="14364" max="14364" width="10.5703125" customWidth="1"/>
    <col min="14365" max="14365" width="20.7109375" customWidth="1"/>
    <col min="14366" max="14366" width="2" customWidth="1"/>
    <col min="14367" max="14367" width="10.140625" customWidth="1"/>
    <col min="14368" max="14368" width="13.7109375" customWidth="1"/>
    <col min="14369" max="14369" width="16.5703125" customWidth="1"/>
    <col min="14370" max="14370" width="16" customWidth="1"/>
    <col min="14371" max="14580" width="9.42578125" customWidth="1"/>
    <col min="14581" max="14581" width="7.140625" customWidth="1"/>
    <col min="14582" max="14582" width="35.28515625" customWidth="1"/>
    <col min="14583" max="14583" width="6.7109375" customWidth="1"/>
    <col min="14584" max="14584" width="5.7109375" customWidth="1"/>
    <col min="14585" max="14585" width="5.85546875" customWidth="1"/>
    <col min="14586" max="14586" width="7.85546875" customWidth="1"/>
    <col min="14593" max="14593" width="7.140625" customWidth="1"/>
    <col min="14594" max="14594" width="39.42578125" customWidth="1"/>
    <col min="14595" max="14595" width="6.7109375" customWidth="1"/>
    <col min="14596" max="14596" width="5.7109375" customWidth="1"/>
    <col min="14597" max="14597" width="5.85546875" customWidth="1"/>
    <col min="14598" max="14598" width="7.85546875" customWidth="1"/>
    <col min="14599" max="14599" width="14.28515625" customWidth="1"/>
    <col min="14600" max="14600" width="14" customWidth="1"/>
    <col min="14601" max="14615" width="0" hidden="1" customWidth="1"/>
    <col min="14616" max="14616" width="11.5703125" customWidth="1"/>
    <col min="14617" max="14617" width="11.85546875" customWidth="1"/>
    <col min="14618" max="14618" width="15.7109375" customWidth="1"/>
    <col min="14619" max="14619" width="1.5703125" customWidth="1"/>
    <col min="14620" max="14620" width="10.5703125" customWidth="1"/>
    <col min="14621" max="14621" width="20.7109375" customWidth="1"/>
    <col min="14622" max="14622" width="2" customWidth="1"/>
    <col min="14623" max="14623" width="10.140625" customWidth="1"/>
    <col min="14624" max="14624" width="13.7109375" customWidth="1"/>
    <col min="14625" max="14625" width="16.5703125" customWidth="1"/>
    <col min="14626" max="14626" width="16" customWidth="1"/>
    <col min="14627" max="14836" width="9.42578125" customWidth="1"/>
    <col min="14837" max="14837" width="7.140625" customWidth="1"/>
    <col min="14838" max="14838" width="35.28515625" customWidth="1"/>
    <col min="14839" max="14839" width="6.7109375" customWidth="1"/>
    <col min="14840" max="14840" width="5.7109375" customWidth="1"/>
    <col min="14841" max="14841" width="5.85546875" customWidth="1"/>
    <col min="14842" max="14842" width="7.85546875" customWidth="1"/>
    <col min="14849" max="14849" width="7.140625" customWidth="1"/>
    <col min="14850" max="14850" width="39.42578125" customWidth="1"/>
    <col min="14851" max="14851" width="6.7109375" customWidth="1"/>
    <col min="14852" max="14852" width="5.7109375" customWidth="1"/>
    <col min="14853" max="14853" width="5.85546875" customWidth="1"/>
    <col min="14854" max="14854" width="7.85546875" customWidth="1"/>
    <col min="14855" max="14855" width="14.28515625" customWidth="1"/>
    <col min="14856" max="14856" width="14" customWidth="1"/>
    <col min="14857" max="14871" width="0" hidden="1" customWidth="1"/>
    <col min="14872" max="14872" width="11.5703125" customWidth="1"/>
    <col min="14873" max="14873" width="11.85546875" customWidth="1"/>
    <col min="14874" max="14874" width="15.7109375" customWidth="1"/>
    <col min="14875" max="14875" width="1.5703125" customWidth="1"/>
    <col min="14876" max="14876" width="10.5703125" customWidth="1"/>
    <col min="14877" max="14877" width="20.7109375" customWidth="1"/>
    <col min="14878" max="14878" width="2" customWidth="1"/>
    <col min="14879" max="14879" width="10.140625" customWidth="1"/>
    <col min="14880" max="14880" width="13.7109375" customWidth="1"/>
    <col min="14881" max="14881" width="16.5703125" customWidth="1"/>
    <col min="14882" max="14882" width="16" customWidth="1"/>
    <col min="14883" max="15092" width="9.42578125" customWidth="1"/>
    <col min="15093" max="15093" width="7.140625" customWidth="1"/>
    <col min="15094" max="15094" width="35.28515625" customWidth="1"/>
    <col min="15095" max="15095" width="6.7109375" customWidth="1"/>
    <col min="15096" max="15096" width="5.7109375" customWidth="1"/>
    <col min="15097" max="15097" width="5.85546875" customWidth="1"/>
    <col min="15098" max="15098" width="7.85546875" customWidth="1"/>
    <col min="15105" max="15105" width="7.140625" customWidth="1"/>
    <col min="15106" max="15106" width="39.42578125" customWidth="1"/>
    <col min="15107" max="15107" width="6.7109375" customWidth="1"/>
    <col min="15108" max="15108" width="5.7109375" customWidth="1"/>
    <col min="15109" max="15109" width="5.85546875" customWidth="1"/>
    <col min="15110" max="15110" width="7.85546875" customWidth="1"/>
    <col min="15111" max="15111" width="14.28515625" customWidth="1"/>
    <col min="15112" max="15112" width="14" customWidth="1"/>
    <col min="15113" max="15127" width="0" hidden="1" customWidth="1"/>
    <col min="15128" max="15128" width="11.5703125" customWidth="1"/>
    <col min="15129" max="15129" width="11.85546875" customWidth="1"/>
    <col min="15130" max="15130" width="15.7109375" customWidth="1"/>
    <col min="15131" max="15131" width="1.5703125" customWidth="1"/>
    <col min="15132" max="15132" width="10.5703125" customWidth="1"/>
    <col min="15133" max="15133" width="20.7109375" customWidth="1"/>
    <col min="15134" max="15134" width="2" customWidth="1"/>
    <col min="15135" max="15135" width="10.140625" customWidth="1"/>
    <col min="15136" max="15136" width="13.7109375" customWidth="1"/>
    <col min="15137" max="15137" width="16.5703125" customWidth="1"/>
    <col min="15138" max="15138" width="16" customWidth="1"/>
    <col min="15139" max="15348" width="9.42578125" customWidth="1"/>
    <col min="15349" max="15349" width="7.140625" customWidth="1"/>
    <col min="15350" max="15350" width="35.28515625" customWidth="1"/>
    <col min="15351" max="15351" width="6.7109375" customWidth="1"/>
    <col min="15352" max="15352" width="5.7109375" customWidth="1"/>
    <col min="15353" max="15353" width="5.85546875" customWidth="1"/>
    <col min="15354" max="15354" width="7.85546875" customWidth="1"/>
    <col min="15361" max="15361" width="7.140625" customWidth="1"/>
    <col min="15362" max="15362" width="39.42578125" customWidth="1"/>
    <col min="15363" max="15363" width="6.7109375" customWidth="1"/>
    <col min="15364" max="15364" width="5.7109375" customWidth="1"/>
    <col min="15365" max="15365" width="5.85546875" customWidth="1"/>
    <col min="15366" max="15366" width="7.85546875" customWidth="1"/>
    <col min="15367" max="15367" width="14.28515625" customWidth="1"/>
    <col min="15368" max="15368" width="14" customWidth="1"/>
    <col min="15369" max="15383" width="0" hidden="1" customWidth="1"/>
    <col min="15384" max="15384" width="11.5703125" customWidth="1"/>
    <col min="15385" max="15385" width="11.85546875" customWidth="1"/>
    <col min="15386" max="15386" width="15.7109375" customWidth="1"/>
    <col min="15387" max="15387" width="1.5703125" customWidth="1"/>
    <col min="15388" max="15388" width="10.5703125" customWidth="1"/>
    <col min="15389" max="15389" width="20.7109375" customWidth="1"/>
    <col min="15390" max="15390" width="2" customWidth="1"/>
    <col min="15391" max="15391" width="10.140625" customWidth="1"/>
    <col min="15392" max="15392" width="13.7109375" customWidth="1"/>
    <col min="15393" max="15393" width="16.5703125" customWidth="1"/>
    <col min="15394" max="15394" width="16" customWidth="1"/>
    <col min="15395" max="15604" width="9.42578125" customWidth="1"/>
    <col min="15605" max="15605" width="7.140625" customWidth="1"/>
    <col min="15606" max="15606" width="35.28515625" customWidth="1"/>
    <col min="15607" max="15607" width="6.7109375" customWidth="1"/>
    <col min="15608" max="15608" width="5.7109375" customWidth="1"/>
    <col min="15609" max="15609" width="5.85546875" customWidth="1"/>
    <col min="15610" max="15610" width="7.85546875" customWidth="1"/>
    <col min="15617" max="15617" width="7.140625" customWidth="1"/>
    <col min="15618" max="15618" width="39.42578125" customWidth="1"/>
    <col min="15619" max="15619" width="6.7109375" customWidth="1"/>
    <col min="15620" max="15620" width="5.7109375" customWidth="1"/>
    <col min="15621" max="15621" width="5.85546875" customWidth="1"/>
    <col min="15622" max="15622" width="7.85546875" customWidth="1"/>
    <col min="15623" max="15623" width="14.28515625" customWidth="1"/>
    <col min="15624" max="15624" width="14" customWidth="1"/>
    <col min="15625" max="15639" width="0" hidden="1" customWidth="1"/>
    <col min="15640" max="15640" width="11.5703125" customWidth="1"/>
    <col min="15641" max="15641" width="11.85546875" customWidth="1"/>
    <col min="15642" max="15642" width="15.7109375" customWidth="1"/>
    <col min="15643" max="15643" width="1.5703125" customWidth="1"/>
    <col min="15644" max="15644" width="10.5703125" customWidth="1"/>
    <col min="15645" max="15645" width="20.7109375" customWidth="1"/>
    <col min="15646" max="15646" width="2" customWidth="1"/>
    <col min="15647" max="15647" width="10.140625" customWidth="1"/>
    <col min="15648" max="15648" width="13.7109375" customWidth="1"/>
    <col min="15649" max="15649" width="16.5703125" customWidth="1"/>
    <col min="15650" max="15650" width="16" customWidth="1"/>
    <col min="15651" max="15860" width="9.42578125" customWidth="1"/>
    <col min="15861" max="15861" width="7.140625" customWidth="1"/>
    <col min="15862" max="15862" width="35.28515625" customWidth="1"/>
    <col min="15863" max="15863" width="6.7109375" customWidth="1"/>
    <col min="15864" max="15864" width="5.7109375" customWidth="1"/>
    <col min="15865" max="15865" width="5.85546875" customWidth="1"/>
    <col min="15866" max="15866" width="7.85546875" customWidth="1"/>
    <col min="15873" max="15873" width="7.140625" customWidth="1"/>
    <col min="15874" max="15874" width="39.42578125" customWidth="1"/>
    <col min="15875" max="15875" width="6.7109375" customWidth="1"/>
    <col min="15876" max="15876" width="5.7109375" customWidth="1"/>
    <col min="15877" max="15877" width="5.85546875" customWidth="1"/>
    <col min="15878" max="15878" width="7.85546875" customWidth="1"/>
    <col min="15879" max="15879" width="14.28515625" customWidth="1"/>
    <col min="15880" max="15880" width="14" customWidth="1"/>
    <col min="15881" max="15895" width="0" hidden="1" customWidth="1"/>
    <col min="15896" max="15896" width="11.5703125" customWidth="1"/>
    <col min="15897" max="15897" width="11.85546875" customWidth="1"/>
    <col min="15898" max="15898" width="15.7109375" customWidth="1"/>
    <col min="15899" max="15899" width="1.5703125" customWidth="1"/>
    <col min="15900" max="15900" width="10.5703125" customWidth="1"/>
    <col min="15901" max="15901" width="20.7109375" customWidth="1"/>
    <col min="15902" max="15902" width="2" customWidth="1"/>
    <col min="15903" max="15903" width="10.140625" customWidth="1"/>
    <col min="15904" max="15904" width="13.7109375" customWidth="1"/>
    <col min="15905" max="15905" width="16.5703125" customWidth="1"/>
    <col min="15906" max="15906" width="16" customWidth="1"/>
    <col min="15907" max="16116" width="9.42578125" customWidth="1"/>
    <col min="16117" max="16117" width="7.140625" customWidth="1"/>
    <col min="16118" max="16118" width="35.28515625" customWidth="1"/>
    <col min="16119" max="16119" width="6.7109375" customWidth="1"/>
    <col min="16120" max="16120" width="5.7109375" customWidth="1"/>
    <col min="16121" max="16121" width="5.85546875" customWidth="1"/>
    <col min="16122" max="16122" width="7.85546875" customWidth="1"/>
    <col min="16129" max="16129" width="7.140625" customWidth="1"/>
    <col min="16130" max="16130" width="39.42578125" customWidth="1"/>
    <col min="16131" max="16131" width="6.7109375" customWidth="1"/>
    <col min="16132" max="16132" width="5.7109375" customWidth="1"/>
    <col min="16133" max="16133" width="5.85546875" customWidth="1"/>
    <col min="16134" max="16134" width="7.85546875" customWidth="1"/>
    <col min="16135" max="16135" width="14.28515625" customWidth="1"/>
    <col min="16136" max="16136" width="14" customWidth="1"/>
    <col min="16137" max="16151" width="0" hidden="1" customWidth="1"/>
    <col min="16152" max="16152" width="11.5703125" customWidth="1"/>
    <col min="16153" max="16153" width="11.85546875" customWidth="1"/>
    <col min="16154" max="16154" width="15.7109375" customWidth="1"/>
    <col min="16155" max="16155" width="1.5703125" customWidth="1"/>
    <col min="16156" max="16156" width="10.5703125" customWidth="1"/>
    <col min="16157" max="16157" width="20.7109375" customWidth="1"/>
    <col min="16158" max="16158" width="2" customWidth="1"/>
    <col min="16159" max="16159" width="10.140625" customWidth="1"/>
    <col min="16160" max="16160" width="13.7109375" customWidth="1"/>
    <col min="16161" max="16161" width="16.5703125" customWidth="1"/>
    <col min="16162" max="16162" width="16" customWidth="1"/>
    <col min="16163" max="16372" width="9.42578125" customWidth="1"/>
    <col min="16373" max="16373" width="7.140625" customWidth="1"/>
    <col min="16374" max="16374" width="35.28515625" customWidth="1"/>
    <col min="16375" max="16375" width="6.7109375" customWidth="1"/>
    <col min="16376" max="16376" width="5.7109375" customWidth="1"/>
    <col min="16377" max="16377" width="5.85546875" customWidth="1"/>
    <col min="16378" max="16378" width="7.85546875" customWidth="1"/>
  </cols>
  <sheetData>
    <row r="2" spans="1:29" ht="15.75" x14ac:dyDescent="0.25">
      <c r="A2" s="1" t="s">
        <v>109</v>
      </c>
      <c r="B2" s="1"/>
      <c r="C2" s="2"/>
      <c r="D2" s="2"/>
      <c r="E2" s="2"/>
      <c r="F2" s="2"/>
      <c r="G2" s="3"/>
    </row>
    <row r="3" spans="1:29" ht="15.75" x14ac:dyDescent="0.25">
      <c r="A3" s="5" t="s">
        <v>110</v>
      </c>
      <c r="B3" s="5"/>
      <c r="C3" s="5"/>
      <c r="D3" s="2"/>
      <c r="E3" s="2"/>
      <c r="F3" s="2"/>
      <c r="G3" s="2"/>
      <c r="K3" s="6"/>
      <c r="Q3" s="6"/>
      <c r="T3" s="6"/>
      <c r="AB3" s="7"/>
      <c r="AC3" s="7"/>
    </row>
    <row r="4" spans="1:29" ht="15.75" thickBot="1" x14ac:dyDescent="0.3">
      <c r="AB4" s="7"/>
      <c r="AC4" s="7"/>
    </row>
    <row r="5" spans="1:29" ht="19.5" thickBot="1" x14ac:dyDescent="0.3">
      <c r="A5" s="8" t="s">
        <v>0</v>
      </c>
      <c r="B5" s="8" t="s">
        <v>1</v>
      </c>
      <c r="C5" s="336" t="s">
        <v>2</v>
      </c>
      <c r="D5" s="337"/>
      <c r="E5" s="338"/>
      <c r="F5" s="342" t="s">
        <v>3</v>
      </c>
      <c r="G5" s="342"/>
      <c r="H5" s="342"/>
      <c r="I5" s="9"/>
      <c r="J5" s="343" t="s">
        <v>111</v>
      </c>
      <c r="K5" s="344"/>
      <c r="L5" s="9"/>
      <c r="M5" s="347" t="s">
        <v>5</v>
      </c>
      <c r="N5" s="348"/>
    </row>
    <row r="6" spans="1:29" ht="15.75" thickBot="1" x14ac:dyDescent="0.3">
      <c r="A6" s="248"/>
      <c r="B6" s="248"/>
      <c r="C6" s="339"/>
      <c r="D6" s="340"/>
      <c r="E6" s="341"/>
      <c r="F6" s="335" t="s">
        <v>112</v>
      </c>
      <c r="G6" s="335"/>
      <c r="H6" s="335"/>
      <c r="I6" s="9"/>
      <c r="J6" s="345"/>
      <c r="K6" s="346"/>
      <c r="L6" s="9"/>
      <c r="M6" s="349"/>
      <c r="N6" s="350"/>
    </row>
    <row r="7" spans="1:29" ht="30.75" thickBot="1" x14ac:dyDescent="0.3">
      <c r="A7" s="10"/>
      <c r="B7" s="10"/>
      <c r="C7" s="11" t="s">
        <v>6</v>
      </c>
      <c r="D7" s="12" t="s">
        <v>7</v>
      </c>
      <c r="E7" s="271" t="s">
        <v>8</v>
      </c>
      <c r="F7" s="16" t="s">
        <v>9</v>
      </c>
      <c r="G7" s="17" t="s">
        <v>10</v>
      </c>
      <c r="H7" s="15" t="s">
        <v>11</v>
      </c>
      <c r="I7" s="18"/>
      <c r="J7" s="19" t="s">
        <v>10</v>
      </c>
      <c r="K7" s="15" t="s">
        <v>11</v>
      </c>
      <c r="L7" s="20"/>
      <c r="M7" s="21" t="s">
        <v>12</v>
      </c>
      <c r="N7" s="15" t="s">
        <v>13</v>
      </c>
    </row>
    <row r="8" spans="1:29" x14ac:dyDescent="0.25">
      <c r="A8" s="22"/>
      <c r="B8" s="23"/>
      <c r="C8" s="24"/>
      <c r="D8" s="25"/>
      <c r="E8" s="26"/>
      <c r="F8" s="24"/>
      <c r="G8" s="29"/>
      <c r="H8" s="30"/>
      <c r="J8" s="24"/>
      <c r="K8" s="31"/>
      <c r="L8"/>
      <c r="M8" s="23"/>
      <c r="N8" s="30"/>
    </row>
    <row r="9" spans="1:29" x14ac:dyDescent="0.25">
      <c r="A9" s="32">
        <v>1</v>
      </c>
      <c r="B9" s="33" t="s">
        <v>14</v>
      </c>
      <c r="C9" s="34">
        <v>2</v>
      </c>
      <c r="D9" s="35">
        <v>1</v>
      </c>
      <c r="E9" s="36">
        <f t="shared" ref="E9:E24" si="0">C9+D9</f>
        <v>3</v>
      </c>
      <c r="F9" s="34">
        <v>3</v>
      </c>
      <c r="G9" s="35">
        <v>143</v>
      </c>
      <c r="H9" s="39">
        <v>6849892</v>
      </c>
      <c r="J9" s="40">
        <v>21</v>
      </c>
      <c r="K9" s="41">
        <v>773610.97109826596</v>
      </c>
      <c r="L9"/>
      <c r="M9" s="42">
        <f t="shared" ref="M9:N12" si="1">G9/J9</f>
        <v>6.8095238095238093</v>
      </c>
      <c r="N9" s="43">
        <f t="shared" si="1"/>
        <v>8.854440094451439</v>
      </c>
    </row>
    <row r="10" spans="1:29" x14ac:dyDescent="0.25">
      <c r="A10" s="32">
        <f>A9+1</f>
        <v>2</v>
      </c>
      <c r="B10" s="33" t="s">
        <v>15</v>
      </c>
      <c r="C10" s="34">
        <v>6</v>
      </c>
      <c r="D10" s="35"/>
      <c r="E10" s="36">
        <f t="shared" si="0"/>
        <v>6</v>
      </c>
      <c r="F10" s="34">
        <v>6</v>
      </c>
      <c r="G10" s="35">
        <v>341</v>
      </c>
      <c r="H10" s="39">
        <v>17389129</v>
      </c>
      <c r="J10" s="40">
        <v>21</v>
      </c>
      <c r="K10" s="41">
        <v>808772.67052023124</v>
      </c>
      <c r="L10"/>
      <c r="M10" s="42">
        <f t="shared" si="1"/>
        <v>16.238095238095237</v>
      </c>
      <c r="N10" s="43">
        <f t="shared" si="1"/>
        <v>21.500638725607153</v>
      </c>
    </row>
    <row r="11" spans="1:29" x14ac:dyDescent="0.25">
      <c r="A11" s="32">
        <f t="shared" ref="A11:A24" si="2">A10+1</f>
        <v>3</v>
      </c>
      <c r="B11" s="33" t="s">
        <v>16</v>
      </c>
      <c r="C11" s="34">
        <v>8</v>
      </c>
      <c r="D11" s="35">
        <v>4</v>
      </c>
      <c r="E11" s="36">
        <f t="shared" si="0"/>
        <v>12</v>
      </c>
      <c r="F11" s="34">
        <v>11</v>
      </c>
      <c r="G11" s="35">
        <v>474</v>
      </c>
      <c r="H11" s="39">
        <v>21593277</v>
      </c>
      <c r="J11" s="40">
        <v>21</v>
      </c>
      <c r="K11" s="41">
        <v>803660.77456647402</v>
      </c>
      <c r="L11"/>
      <c r="M11" s="42">
        <f t="shared" si="1"/>
        <v>22.571428571428573</v>
      </c>
      <c r="N11" s="43">
        <f t="shared" si="1"/>
        <v>26.868646179289087</v>
      </c>
    </row>
    <row r="12" spans="1:29" x14ac:dyDescent="0.25">
      <c r="A12" s="32">
        <f t="shared" si="2"/>
        <v>4</v>
      </c>
      <c r="B12" s="44" t="s">
        <v>17</v>
      </c>
      <c r="C12" s="45">
        <v>2</v>
      </c>
      <c r="D12" s="46">
        <v>7</v>
      </c>
      <c r="E12" s="36">
        <f t="shared" si="0"/>
        <v>9</v>
      </c>
      <c r="F12" s="34">
        <v>9</v>
      </c>
      <c r="G12" s="35">
        <v>194</v>
      </c>
      <c r="H12" s="39">
        <v>9374151</v>
      </c>
      <c r="J12" s="40"/>
      <c r="K12" s="41"/>
      <c r="L12"/>
      <c r="M12" s="42" t="e">
        <f t="shared" si="1"/>
        <v>#DIV/0!</v>
      </c>
      <c r="N12" s="43" t="e">
        <f t="shared" si="1"/>
        <v>#DIV/0!</v>
      </c>
      <c r="P12" s="47"/>
    </row>
    <row r="13" spans="1:29" x14ac:dyDescent="0.25">
      <c r="A13" s="32">
        <f t="shared" si="2"/>
        <v>5</v>
      </c>
      <c r="B13" s="33" t="s">
        <v>21</v>
      </c>
      <c r="C13" s="34">
        <v>4</v>
      </c>
      <c r="D13" s="35">
        <v>1</v>
      </c>
      <c r="E13" s="36">
        <f t="shared" si="0"/>
        <v>5</v>
      </c>
      <c r="F13" s="34">
        <v>5</v>
      </c>
      <c r="G13" s="35">
        <v>274</v>
      </c>
      <c r="H13" s="39">
        <v>14009827</v>
      </c>
      <c r="I13" s="48"/>
      <c r="J13" s="40">
        <v>15</v>
      </c>
      <c r="K13" s="41">
        <v>242439.9710982659</v>
      </c>
      <c r="L13" s="48"/>
      <c r="M13" s="73">
        <f>G13/J13</f>
        <v>18.266666666666666</v>
      </c>
      <c r="N13" s="50" t="e">
        <f>(H13+#REF!)/K13</f>
        <v>#REF!</v>
      </c>
      <c r="P13" s="47"/>
    </row>
    <row r="14" spans="1:29" x14ac:dyDescent="0.25">
      <c r="A14" s="32">
        <f t="shared" si="2"/>
        <v>6</v>
      </c>
      <c r="B14" s="33" t="s">
        <v>23</v>
      </c>
      <c r="C14" s="34">
        <v>10</v>
      </c>
      <c r="D14" s="35">
        <v>1</v>
      </c>
      <c r="E14" s="36">
        <f t="shared" si="0"/>
        <v>11</v>
      </c>
      <c r="F14" s="34">
        <v>11</v>
      </c>
      <c r="G14" s="35">
        <v>485</v>
      </c>
      <c r="H14" s="39">
        <v>24306205</v>
      </c>
      <c r="I14" s="48"/>
      <c r="J14" s="40">
        <v>30</v>
      </c>
      <c r="K14" s="41">
        <v>1105803.8323699422</v>
      </c>
      <c r="L14" s="48"/>
      <c r="M14" s="42">
        <f t="shared" ref="M14:N23" si="3">G14/J14</f>
        <v>16.166666666666668</v>
      </c>
      <c r="N14" s="43">
        <f t="shared" si="3"/>
        <v>21.980575838580073</v>
      </c>
    </row>
    <row r="15" spans="1:29" x14ac:dyDescent="0.25">
      <c r="A15" s="32">
        <f t="shared" si="2"/>
        <v>7</v>
      </c>
      <c r="B15" s="33" t="s">
        <v>24</v>
      </c>
      <c r="C15" s="34">
        <v>7</v>
      </c>
      <c r="D15" s="35">
        <v>1</v>
      </c>
      <c r="E15" s="36">
        <f t="shared" si="0"/>
        <v>8</v>
      </c>
      <c r="F15" s="34">
        <v>8</v>
      </c>
      <c r="G15" s="35">
        <v>426</v>
      </c>
      <c r="H15" s="39">
        <v>20555922</v>
      </c>
      <c r="I15" s="48"/>
      <c r="J15" s="40">
        <v>33</v>
      </c>
      <c r="K15" s="41">
        <v>1220253.5028901733</v>
      </c>
      <c r="L15" s="48"/>
      <c r="M15" s="42">
        <f t="shared" si="3"/>
        <v>12.909090909090908</v>
      </c>
      <c r="N15" s="43">
        <f t="shared" si="3"/>
        <v>16.845616055445241</v>
      </c>
    </row>
    <row r="16" spans="1:29" s="48" customFormat="1" x14ac:dyDescent="0.25">
      <c r="A16" s="32">
        <f t="shared" si="2"/>
        <v>8</v>
      </c>
      <c r="B16" s="52" t="s">
        <v>25</v>
      </c>
      <c r="C16" s="53">
        <v>5</v>
      </c>
      <c r="D16" s="54"/>
      <c r="E16" s="55">
        <f t="shared" si="0"/>
        <v>5</v>
      </c>
      <c r="F16" s="53">
        <v>5</v>
      </c>
      <c r="G16" s="54">
        <v>248.8</v>
      </c>
      <c r="H16" s="56">
        <v>12873470</v>
      </c>
      <c r="J16" s="40"/>
      <c r="K16" s="41"/>
      <c r="M16" s="42" t="e">
        <f t="shared" si="3"/>
        <v>#DIV/0!</v>
      </c>
      <c r="N16" s="43" t="e">
        <f t="shared" si="3"/>
        <v>#DIV/0!</v>
      </c>
    </row>
    <row r="17" spans="1:14" x14ac:dyDescent="0.25">
      <c r="A17" s="32">
        <f t="shared" si="2"/>
        <v>9</v>
      </c>
      <c r="B17" s="33" t="s">
        <v>26</v>
      </c>
      <c r="C17" s="34">
        <v>9</v>
      </c>
      <c r="D17" s="35">
        <v>4</v>
      </c>
      <c r="E17" s="36">
        <f t="shared" si="0"/>
        <v>13</v>
      </c>
      <c r="F17" s="34">
        <v>11</v>
      </c>
      <c r="G17" s="35">
        <v>256</v>
      </c>
      <c r="H17" s="39">
        <v>11693600</v>
      </c>
      <c r="I17" s="48"/>
      <c r="J17" s="40">
        <v>21</v>
      </c>
      <c r="K17" s="41">
        <v>803660.77456647402</v>
      </c>
      <c r="L17" s="48"/>
      <c r="M17" s="42">
        <f t="shared" si="3"/>
        <v>12.19047619047619</v>
      </c>
      <c r="N17" s="43">
        <f t="shared" si="3"/>
        <v>14.550417750957156</v>
      </c>
    </row>
    <row r="18" spans="1:14" x14ac:dyDescent="0.25">
      <c r="A18" s="32">
        <f t="shared" si="2"/>
        <v>10</v>
      </c>
      <c r="B18" s="33" t="s">
        <v>27</v>
      </c>
      <c r="C18" s="34">
        <v>3</v>
      </c>
      <c r="D18" s="35">
        <v>2</v>
      </c>
      <c r="E18" s="36">
        <f t="shared" si="0"/>
        <v>5</v>
      </c>
      <c r="F18" s="34">
        <v>5</v>
      </c>
      <c r="G18" s="35">
        <v>125</v>
      </c>
      <c r="H18" s="39">
        <v>5580356</v>
      </c>
      <c r="I18" s="48"/>
      <c r="J18" s="40">
        <v>45</v>
      </c>
      <c r="K18" s="41">
        <v>1722130.231213873</v>
      </c>
      <c r="L18" s="48"/>
      <c r="M18" s="42">
        <f t="shared" si="3"/>
        <v>2.7777777777777777</v>
      </c>
      <c r="N18" s="43">
        <f t="shared" si="3"/>
        <v>3.2403797917574391</v>
      </c>
    </row>
    <row r="19" spans="1:14" x14ac:dyDescent="0.25">
      <c r="A19" s="32">
        <f t="shared" si="2"/>
        <v>11</v>
      </c>
      <c r="B19" s="57" t="s">
        <v>28</v>
      </c>
      <c r="C19" s="34">
        <v>11</v>
      </c>
      <c r="D19" s="35">
        <v>8</v>
      </c>
      <c r="E19" s="36">
        <f t="shared" si="0"/>
        <v>19</v>
      </c>
      <c r="F19" s="34">
        <v>18</v>
      </c>
      <c r="G19" s="35">
        <v>570</v>
      </c>
      <c r="H19" s="39">
        <v>26213757</v>
      </c>
      <c r="I19" s="48"/>
      <c r="J19" s="40">
        <v>84</v>
      </c>
      <c r="K19" s="41">
        <v>3219754.9942196533</v>
      </c>
      <c r="L19" s="48"/>
      <c r="M19" s="42">
        <f t="shared" si="3"/>
        <v>6.7857142857142856</v>
      </c>
      <c r="N19" s="43">
        <f t="shared" si="3"/>
        <v>8.1415378024293492</v>
      </c>
    </row>
    <row r="20" spans="1:14" x14ac:dyDescent="0.25">
      <c r="A20" s="32">
        <f t="shared" si="2"/>
        <v>12</v>
      </c>
      <c r="B20" s="246" t="s">
        <v>89</v>
      </c>
      <c r="C20" s="34">
        <v>0</v>
      </c>
      <c r="D20" s="35">
        <v>9</v>
      </c>
      <c r="E20" s="36">
        <f t="shared" si="0"/>
        <v>9</v>
      </c>
      <c r="F20" s="34">
        <v>9</v>
      </c>
      <c r="G20" s="35">
        <v>206</v>
      </c>
      <c r="H20" s="39">
        <v>7764576</v>
      </c>
      <c r="I20" s="48"/>
      <c r="J20" s="40"/>
      <c r="K20" s="41"/>
      <c r="L20" s="48"/>
      <c r="M20" s="42" t="e">
        <f t="shared" si="3"/>
        <v>#DIV/0!</v>
      </c>
      <c r="N20" s="43" t="e">
        <f t="shared" si="3"/>
        <v>#DIV/0!</v>
      </c>
    </row>
    <row r="21" spans="1:14" x14ac:dyDescent="0.25">
      <c r="A21" s="32">
        <f t="shared" si="2"/>
        <v>13</v>
      </c>
      <c r="B21" s="33" t="s">
        <v>29</v>
      </c>
      <c r="C21" s="34">
        <v>16</v>
      </c>
      <c r="D21" s="35">
        <v>4</v>
      </c>
      <c r="E21" s="36">
        <f t="shared" si="0"/>
        <v>20</v>
      </c>
      <c r="F21" s="34">
        <v>20</v>
      </c>
      <c r="G21" s="35">
        <v>578</v>
      </c>
      <c r="H21" s="39">
        <v>27771119</v>
      </c>
      <c r="J21" s="58">
        <v>200</v>
      </c>
      <c r="K21" s="59">
        <v>9492540.1329479776</v>
      </c>
      <c r="L21"/>
      <c r="M21" s="42">
        <f t="shared" si="3"/>
        <v>2.89</v>
      </c>
      <c r="N21" s="43">
        <f t="shared" si="3"/>
        <v>2.9255729879516954</v>
      </c>
    </row>
    <row r="22" spans="1:14" x14ac:dyDescent="0.25">
      <c r="A22" s="32">
        <f t="shared" si="2"/>
        <v>14</v>
      </c>
      <c r="B22" s="33" t="s">
        <v>30</v>
      </c>
      <c r="C22" s="34">
        <v>2</v>
      </c>
      <c r="D22" s="35">
        <v>7</v>
      </c>
      <c r="E22" s="36">
        <f t="shared" si="0"/>
        <v>9</v>
      </c>
      <c r="F22" s="34">
        <v>8</v>
      </c>
      <c r="G22" s="35">
        <v>329.5</v>
      </c>
      <c r="H22" s="39">
        <v>15092958.5</v>
      </c>
      <c r="J22" s="40"/>
      <c r="K22" s="41"/>
      <c r="L22"/>
      <c r="M22" s="42" t="e">
        <f t="shared" si="3"/>
        <v>#DIV/0!</v>
      </c>
      <c r="N22" s="43" t="e">
        <f t="shared" si="3"/>
        <v>#DIV/0!</v>
      </c>
    </row>
    <row r="23" spans="1:14" x14ac:dyDescent="0.25">
      <c r="A23" s="32">
        <f t="shared" si="2"/>
        <v>15</v>
      </c>
      <c r="B23" s="33" t="s">
        <v>31</v>
      </c>
      <c r="C23" s="34">
        <v>2</v>
      </c>
      <c r="D23" s="35">
        <v>10</v>
      </c>
      <c r="E23" s="36">
        <f t="shared" si="0"/>
        <v>12</v>
      </c>
      <c r="F23" s="34">
        <v>11</v>
      </c>
      <c r="G23" s="35">
        <v>366</v>
      </c>
      <c r="H23" s="39">
        <v>17607434</v>
      </c>
      <c r="J23" s="40">
        <v>577</v>
      </c>
      <c r="K23" s="41">
        <v>25340370.809248555</v>
      </c>
      <c r="L23"/>
      <c r="M23" s="42">
        <f t="shared" si="3"/>
        <v>0.63431542461005197</v>
      </c>
      <c r="N23" s="43">
        <f t="shared" si="3"/>
        <v>0.69483726708425908</v>
      </c>
    </row>
    <row r="24" spans="1:14" x14ac:dyDescent="0.25">
      <c r="A24" s="32">
        <f t="shared" si="2"/>
        <v>16</v>
      </c>
      <c r="B24" s="61" t="s">
        <v>32</v>
      </c>
      <c r="C24" s="62"/>
      <c r="D24" s="63"/>
      <c r="E24" s="64">
        <f t="shared" si="0"/>
        <v>0</v>
      </c>
      <c r="F24" s="34"/>
      <c r="G24" s="35"/>
      <c r="H24" s="39"/>
      <c r="J24" s="40">
        <v>612</v>
      </c>
      <c r="K24" s="41">
        <v>30401549.956647404</v>
      </c>
      <c r="L24"/>
      <c r="M24" s="273">
        <f>(G25+G26)/J24</f>
        <v>1.0506535947712419</v>
      </c>
      <c r="N24" s="274">
        <f>(H25+H26)/K24</f>
        <v>1.0782375585042341</v>
      </c>
    </row>
    <row r="25" spans="1:14" x14ac:dyDescent="0.25">
      <c r="A25" s="60"/>
      <c r="B25" s="61" t="s">
        <v>33</v>
      </c>
      <c r="C25" s="34">
        <v>19</v>
      </c>
      <c r="D25" s="35">
        <v>10</v>
      </c>
      <c r="E25" s="36"/>
      <c r="F25" s="34">
        <v>33</v>
      </c>
      <c r="G25" s="35">
        <v>643</v>
      </c>
      <c r="H25" s="39">
        <v>32780093</v>
      </c>
      <c r="J25" s="67"/>
      <c r="K25" s="68"/>
      <c r="L25"/>
      <c r="M25" s="69"/>
      <c r="N25" s="70"/>
    </row>
    <row r="26" spans="1:14" x14ac:dyDescent="0.25">
      <c r="A26" s="32"/>
      <c r="B26" s="33" t="s">
        <v>34</v>
      </c>
      <c r="C26" s="34">
        <v>6</v>
      </c>
      <c r="D26" s="35"/>
      <c r="E26" s="36"/>
      <c r="F26" s="34"/>
      <c r="G26" s="35"/>
      <c r="H26" s="39"/>
      <c r="J26" s="40"/>
      <c r="K26" s="41"/>
      <c r="L26"/>
      <c r="M26" s="42"/>
      <c r="N26" s="43"/>
    </row>
    <row r="27" spans="1:14" x14ac:dyDescent="0.25">
      <c r="A27" s="32">
        <v>17</v>
      </c>
      <c r="B27" s="33" t="s">
        <v>35</v>
      </c>
      <c r="C27" s="34">
        <v>2</v>
      </c>
      <c r="D27" s="35">
        <v>3</v>
      </c>
      <c r="E27" s="36">
        <f t="shared" ref="E27:E37" si="4">C27+D27</f>
        <v>5</v>
      </c>
      <c r="F27" s="34">
        <v>5</v>
      </c>
      <c r="G27" s="35">
        <v>172</v>
      </c>
      <c r="H27" s="39">
        <v>8387767</v>
      </c>
      <c r="J27" s="40">
        <v>15</v>
      </c>
      <c r="K27" s="41">
        <v>579155.30635838152</v>
      </c>
      <c r="L27"/>
      <c r="M27" s="42">
        <f>G27/J27</f>
        <v>11.466666666666667</v>
      </c>
      <c r="N27" s="43">
        <f>H27/K27</f>
        <v>14.48275947386321</v>
      </c>
    </row>
    <row r="28" spans="1:14" x14ac:dyDescent="0.25">
      <c r="A28" s="32">
        <f>A27+1</f>
        <v>18</v>
      </c>
      <c r="B28" s="61" t="s">
        <v>36</v>
      </c>
      <c r="C28" s="62">
        <v>8</v>
      </c>
      <c r="D28" s="63"/>
      <c r="E28" s="64">
        <f t="shared" si="4"/>
        <v>8</v>
      </c>
      <c r="F28" s="34">
        <v>7</v>
      </c>
      <c r="G28" s="35">
        <v>196</v>
      </c>
      <c r="H28" s="39">
        <v>10128101</v>
      </c>
      <c r="J28" s="40">
        <v>63</v>
      </c>
      <c r="K28" s="41">
        <v>2423804.9306358383</v>
      </c>
      <c r="L28"/>
      <c r="M28" s="73">
        <f>(G28+G29)/J28</f>
        <v>8.1984126984126977</v>
      </c>
      <c r="N28" s="50">
        <f>(H28+H29)/K28</f>
        <v>10.813033536128941</v>
      </c>
    </row>
    <row r="29" spans="1:14" x14ac:dyDescent="0.25">
      <c r="A29" s="32">
        <f t="shared" ref="A29:A37" si="5">A28+1</f>
        <v>19</v>
      </c>
      <c r="B29" s="33" t="s">
        <v>37</v>
      </c>
      <c r="C29" s="34">
        <v>9</v>
      </c>
      <c r="D29" s="35">
        <v>3</v>
      </c>
      <c r="E29" s="36">
        <f t="shared" si="4"/>
        <v>12</v>
      </c>
      <c r="F29" s="34">
        <v>11</v>
      </c>
      <c r="G29" s="35">
        <v>320.5</v>
      </c>
      <c r="H29" s="39">
        <v>16080583</v>
      </c>
      <c r="J29" s="74"/>
      <c r="K29" s="68"/>
      <c r="L29"/>
      <c r="M29" s="42"/>
      <c r="N29" s="43"/>
    </row>
    <row r="30" spans="1:14" x14ac:dyDescent="0.25">
      <c r="A30" s="32">
        <f t="shared" si="5"/>
        <v>20</v>
      </c>
      <c r="B30" s="33" t="s">
        <v>38</v>
      </c>
      <c r="C30" s="34">
        <v>10</v>
      </c>
      <c r="D30" s="35">
        <v>3</v>
      </c>
      <c r="E30" s="36">
        <f t="shared" si="4"/>
        <v>13</v>
      </c>
      <c r="F30" s="34">
        <v>12</v>
      </c>
      <c r="G30" s="35">
        <v>362</v>
      </c>
      <c r="H30" s="39">
        <v>17993590</v>
      </c>
      <c r="I30" s="48"/>
      <c r="J30" s="40">
        <v>36</v>
      </c>
      <c r="K30" s="41">
        <v>1393969.5520231214</v>
      </c>
      <c r="L30" s="48"/>
      <c r="M30" s="42">
        <f t="shared" ref="M30:N37" si="6">G30/J30</f>
        <v>10.055555555555555</v>
      </c>
      <c r="N30" s="43">
        <f t="shared" si="6"/>
        <v>12.90816572993665</v>
      </c>
    </row>
    <row r="31" spans="1:14" x14ac:dyDescent="0.25">
      <c r="A31" s="32">
        <f t="shared" si="5"/>
        <v>21</v>
      </c>
      <c r="B31" s="33" t="s">
        <v>39</v>
      </c>
      <c r="C31" s="34">
        <v>8</v>
      </c>
      <c r="D31" s="35"/>
      <c r="E31" s="36">
        <f t="shared" si="4"/>
        <v>8</v>
      </c>
      <c r="F31" s="34">
        <v>7</v>
      </c>
      <c r="G31" s="35">
        <v>167</v>
      </c>
      <c r="H31" s="39">
        <v>8625661</v>
      </c>
      <c r="I31" s="48"/>
      <c r="J31" s="40">
        <v>24</v>
      </c>
      <c r="K31" s="41">
        <v>923581.3526011561</v>
      </c>
      <c r="L31" s="48"/>
      <c r="M31" s="42">
        <f t="shared" si="6"/>
        <v>6.958333333333333</v>
      </c>
      <c r="N31" s="43">
        <f t="shared" si="6"/>
        <v>9.3393624456653015</v>
      </c>
    </row>
    <row r="32" spans="1:14" x14ac:dyDescent="0.25">
      <c r="A32" s="32">
        <f t="shared" si="5"/>
        <v>22</v>
      </c>
      <c r="B32" s="33" t="s">
        <v>40</v>
      </c>
      <c r="C32" s="34">
        <v>1</v>
      </c>
      <c r="D32" s="35">
        <v>1</v>
      </c>
      <c r="E32" s="36">
        <f t="shared" si="4"/>
        <v>2</v>
      </c>
      <c r="F32" s="34">
        <v>2</v>
      </c>
      <c r="G32" s="35">
        <v>45</v>
      </c>
      <c r="H32" s="39">
        <v>2307559</v>
      </c>
      <c r="I32" s="48"/>
      <c r="J32" s="40">
        <v>6</v>
      </c>
      <c r="K32" s="41">
        <v>234729.26011560694</v>
      </c>
      <c r="L32" s="48"/>
      <c r="M32" s="42">
        <f t="shared" si="6"/>
        <v>7.5</v>
      </c>
      <c r="N32" s="43">
        <f t="shared" si="6"/>
        <v>9.8307258279751739</v>
      </c>
    </row>
    <row r="33" spans="1:16" x14ac:dyDescent="0.25">
      <c r="A33" s="32">
        <f t="shared" si="5"/>
        <v>23</v>
      </c>
      <c r="B33" s="33" t="s">
        <v>41</v>
      </c>
      <c r="C33" s="34">
        <v>4</v>
      </c>
      <c r="D33" s="35"/>
      <c r="E33" s="36">
        <f t="shared" si="4"/>
        <v>4</v>
      </c>
      <c r="F33" s="34">
        <v>4</v>
      </c>
      <c r="G33" s="35">
        <v>76.5</v>
      </c>
      <c r="H33" s="39">
        <v>3989605.5</v>
      </c>
      <c r="I33" s="48"/>
      <c r="J33" s="58">
        <v>36</v>
      </c>
      <c r="K33" s="59">
        <v>1407100.2658959539</v>
      </c>
      <c r="L33" s="48"/>
      <c r="M33" s="42">
        <f>(G33+G34)/J33</f>
        <v>6.7361111111111107</v>
      </c>
      <c r="N33" s="43">
        <f>(H33+H34)/K33</f>
        <v>8.6527622054335449</v>
      </c>
    </row>
    <row r="34" spans="1:16" x14ac:dyDescent="0.25">
      <c r="A34" s="32">
        <f t="shared" si="5"/>
        <v>24</v>
      </c>
      <c r="B34" s="33" t="s">
        <v>44</v>
      </c>
      <c r="C34" s="34">
        <v>4</v>
      </c>
      <c r="D34" s="35">
        <v>3</v>
      </c>
      <c r="E34" s="36">
        <f t="shared" si="4"/>
        <v>7</v>
      </c>
      <c r="F34" s="34">
        <v>5</v>
      </c>
      <c r="G34" s="35">
        <v>166</v>
      </c>
      <c r="H34" s="39">
        <v>8185698.5</v>
      </c>
      <c r="J34" s="58"/>
      <c r="K34" s="59"/>
      <c r="L34"/>
      <c r="M34" s="42" t="e">
        <f t="shared" ref="M34:N34" si="7">G34/J34</f>
        <v>#DIV/0!</v>
      </c>
      <c r="N34" s="43" t="e">
        <f t="shared" si="7"/>
        <v>#DIV/0!</v>
      </c>
    </row>
    <row r="35" spans="1:16" x14ac:dyDescent="0.25">
      <c r="A35" s="32">
        <f t="shared" si="5"/>
        <v>25</v>
      </c>
      <c r="B35" s="33" t="s">
        <v>42</v>
      </c>
      <c r="C35" s="34">
        <v>3</v>
      </c>
      <c r="D35" s="35"/>
      <c r="E35" s="36">
        <f t="shared" si="4"/>
        <v>3</v>
      </c>
      <c r="F35" s="34">
        <v>3</v>
      </c>
      <c r="G35" s="35">
        <v>59</v>
      </c>
      <c r="H35" s="39">
        <v>3128056</v>
      </c>
      <c r="J35" s="40">
        <v>18</v>
      </c>
      <c r="K35" s="41">
        <v>740105.01156069373</v>
      </c>
      <c r="L35"/>
      <c r="M35" s="42">
        <f t="shared" si="6"/>
        <v>3.2777777777777777</v>
      </c>
      <c r="N35" s="43">
        <f t="shared" si="6"/>
        <v>4.2265029301770616</v>
      </c>
    </row>
    <row r="36" spans="1:16" x14ac:dyDescent="0.25">
      <c r="A36" s="32">
        <f t="shared" si="5"/>
        <v>26</v>
      </c>
      <c r="B36" s="44" t="s">
        <v>43</v>
      </c>
      <c r="C36" s="45">
        <v>1</v>
      </c>
      <c r="D36" s="46">
        <v>15</v>
      </c>
      <c r="E36" s="36">
        <f t="shared" si="4"/>
        <v>16</v>
      </c>
      <c r="F36" s="34">
        <v>16</v>
      </c>
      <c r="G36" s="35">
        <v>596</v>
      </c>
      <c r="H36" s="39">
        <v>28626785</v>
      </c>
      <c r="J36" s="58"/>
      <c r="K36" s="59"/>
      <c r="L36"/>
      <c r="M36" s="42" t="e">
        <f t="shared" si="6"/>
        <v>#DIV/0!</v>
      </c>
      <c r="N36" s="43" t="e">
        <f t="shared" si="6"/>
        <v>#DIV/0!</v>
      </c>
    </row>
    <row r="37" spans="1:16" x14ac:dyDescent="0.25">
      <c r="A37" s="32">
        <f t="shared" si="5"/>
        <v>27</v>
      </c>
      <c r="B37" s="44" t="s">
        <v>45</v>
      </c>
      <c r="C37" s="34">
        <v>1</v>
      </c>
      <c r="D37" s="35"/>
      <c r="E37" s="36">
        <f t="shared" si="4"/>
        <v>1</v>
      </c>
      <c r="F37" s="34"/>
      <c r="G37" s="35"/>
      <c r="H37" s="39"/>
      <c r="J37" s="58"/>
      <c r="K37" s="59"/>
      <c r="L37"/>
      <c r="M37" s="42" t="e">
        <f t="shared" si="6"/>
        <v>#DIV/0!</v>
      </c>
      <c r="N37" s="43" t="e">
        <f t="shared" si="6"/>
        <v>#DIV/0!</v>
      </c>
    </row>
    <row r="38" spans="1:16" ht="15.75" thickBot="1" x14ac:dyDescent="0.3">
      <c r="A38" s="75"/>
      <c r="B38" s="76"/>
      <c r="C38" s="45"/>
      <c r="D38" s="46"/>
      <c r="E38" s="77"/>
      <c r="F38" s="78"/>
      <c r="G38" s="79"/>
      <c r="H38" s="80"/>
      <c r="J38" s="81"/>
      <c r="K38" s="82"/>
      <c r="L38"/>
      <c r="M38" s="83"/>
      <c r="N38" s="84"/>
    </row>
    <row r="39" spans="1:16" ht="15.75" thickBot="1" x14ac:dyDescent="0.3">
      <c r="A39" s="85"/>
      <c r="B39" s="86" t="s">
        <v>46</v>
      </c>
      <c r="C39" s="87">
        <f>SUM(C9:C37)</f>
        <v>163</v>
      </c>
      <c r="D39" s="88">
        <f>SUM(D9:D37)</f>
        <v>97</v>
      </c>
      <c r="E39" s="89">
        <f>SUM(E9:E36)</f>
        <v>224</v>
      </c>
      <c r="F39" s="93">
        <f>SUM(F9:F36)</f>
        <v>245</v>
      </c>
      <c r="G39" s="275">
        <f>SUM(G9:G38)</f>
        <v>7819.3</v>
      </c>
      <c r="H39" s="92">
        <f>SUM(H9:H38)</f>
        <v>378909172.5</v>
      </c>
      <c r="J39" s="94">
        <f>SUM(J9:J38)</f>
        <v>1878</v>
      </c>
      <c r="K39" s="95">
        <f>SUM(K9:K38)</f>
        <v>83636994.300578058</v>
      </c>
      <c r="L39"/>
      <c r="M39" s="96">
        <f>G39/J39</f>
        <v>4.1636315228966989</v>
      </c>
      <c r="N39" s="97">
        <f>H39/K39</f>
        <v>4.5304015964306501</v>
      </c>
    </row>
    <row r="40" spans="1:16" x14ac:dyDescent="0.25">
      <c r="A40" s="60"/>
      <c r="B40" s="98"/>
      <c r="C40" s="62"/>
      <c r="D40" s="63"/>
      <c r="E40" s="64"/>
      <c r="F40" s="71"/>
      <c r="G40" s="63"/>
      <c r="H40" s="100"/>
      <c r="J40" s="67"/>
      <c r="K40" s="101"/>
      <c r="L40"/>
      <c r="M40" s="69"/>
      <c r="N40" s="70"/>
    </row>
    <row r="41" spans="1:16" x14ac:dyDescent="0.25">
      <c r="A41" s="32"/>
      <c r="B41" s="102"/>
      <c r="C41" s="34"/>
      <c r="D41" s="35"/>
      <c r="E41" s="36"/>
      <c r="F41" s="37"/>
      <c r="G41" s="63"/>
      <c r="H41" s="63"/>
      <c r="J41" s="40"/>
      <c r="K41" s="103"/>
      <c r="L41"/>
      <c r="M41" s="42"/>
      <c r="N41" s="104"/>
    </row>
    <row r="42" spans="1:16" x14ac:dyDescent="0.25">
      <c r="A42" s="32"/>
      <c r="B42" s="105"/>
      <c r="C42" s="34"/>
      <c r="D42" s="35"/>
      <c r="E42" s="36"/>
      <c r="F42" s="37"/>
      <c r="G42" s="63"/>
      <c r="H42" s="100"/>
      <c r="J42" s="67"/>
      <c r="K42" s="101"/>
      <c r="L42"/>
      <c r="M42" s="42"/>
      <c r="N42" s="104"/>
    </row>
    <row r="43" spans="1:16" x14ac:dyDescent="0.25">
      <c r="A43" s="32">
        <v>1</v>
      </c>
      <c r="B43" s="33" t="s">
        <v>47</v>
      </c>
      <c r="C43" s="34">
        <v>4</v>
      </c>
      <c r="D43" s="35">
        <v>3</v>
      </c>
      <c r="E43" s="36">
        <f t="shared" ref="E43:E49" si="8">C43+D43</f>
        <v>7</v>
      </c>
      <c r="F43" s="34"/>
      <c r="G43" s="35"/>
      <c r="H43" s="39"/>
      <c r="J43" s="106"/>
      <c r="K43" s="68"/>
      <c r="L43"/>
      <c r="M43" s="42" t="e">
        <f t="shared" ref="M43:N45" si="9">G43/J43</f>
        <v>#DIV/0!</v>
      </c>
      <c r="N43" s="43" t="e">
        <f t="shared" si="9"/>
        <v>#DIV/0!</v>
      </c>
    </row>
    <row r="44" spans="1:16" x14ac:dyDescent="0.25">
      <c r="A44" s="32">
        <v>2</v>
      </c>
      <c r="B44" s="33" t="s">
        <v>48</v>
      </c>
      <c r="C44" s="34">
        <v>8</v>
      </c>
      <c r="D44" s="35">
        <v>2</v>
      </c>
      <c r="E44" s="36">
        <f t="shared" si="8"/>
        <v>10</v>
      </c>
      <c r="F44" s="34">
        <v>5</v>
      </c>
      <c r="G44" s="35">
        <v>159</v>
      </c>
      <c r="H44" s="39">
        <v>8429309</v>
      </c>
      <c r="I44" s="48"/>
      <c r="J44" s="106"/>
      <c r="K44" s="107"/>
      <c r="L44" s="48"/>
      <c r="M44" s="42" t="e">
        <f t="shared" si="9"/>
        <v>#DIV/0!</v>
      </c>
      <c r="N44" s="43" t="e">
        <f t="shared" si="9"/>
        <v>#DIV/0!</v>
      </c>
    </row>
    <row r="45" spans="1:16" x14ac:dyDescent="0.25">
      <c r="A45" s="32">
        <v>3</v>
      </c>
      <c r="B45" s="33" t="s">
        <v>49</v>
      </c>
      <c r="C45" s="34">
        <v>12</v>
      </c>
      <c r="D45" s="35">
        <v>3</v>
      </c>
      <c r="E45" s="36">
        <f t="shared" si="8"/>
        <v>15</v>
      </c>
      <c r="F45" s="34">
        <v>15</v>
      </c>
      <c r="G45" s="108">
        <v>425.5</v>
      </c>
      <c r="H45" s="39">
        <v>23098809</v>
      </c>
      <c r="J45" s="106">
        <v>792</v>
      </c>
      <c r="K45" s="107">
        <v>40072688.219653182</v>
      </c>
      <c r="L45"/>
      <c r="M45" s="42">
        <f t="shared" si="9"/>
        <v>0.5372474747474747</v>
      </c>
      <c r="N45" s="43">
        <f t="shared" si="9"/>
        <v>0.57642274641987856</v>
      </c>
    </row>
    <row r="46" spans="1:16" x14ac:dyDescent="0.25">
      <c r="A46" s="32">
        <v>4</v>
      </c>
      <c r="B46" s="33" t="s">
        <v>50</v>
      </c>
      <c r="C46" s="34">
        <v>12</v>
      </c>
      <c r="D46" s="35">
        <v>4</v>
      </c>
      <c r="E46" s="36">
        <f t="shared" si="8"/>
        <v>16</v>
      </c>
      <c r="F46" s="34">
        <v>16</v>
      </c>
      <c r="G46" s="35">
        <v>470.5</v>
      </c>
      <c r="H46" s="39">
        <v>24268548.5</v>
      </c>
      <c r="J46" s="106"/>
      <c r="K46" s="68"/>
      <c r="L46"/>
      <c r="M46" s="109" t="e">
        <f>(G46+G47)/J46</f>
        <v>#DIV/0!</v>
      </c>
      <c r="N46" s="66" t="e">
        <f>(H46+H47)/K46</f>
        <v>#DIV/0!</v>
      </c>
      <c r="O46" s="110"/>
      <c r="P46" s="111"/>
    </row>
    <row r="47" spans="1:16" x14ac:dyDescent="0.25">
      <c r="A47" s="32">
        <v>5</v>
      </c>
      <c r="B47" s="33" t="s">
        <v>51</v>
      </c>
      <c r="C47" s="34">
        <v>20</v>
      </c>
      <c r="D47" s="35">
        <v>7</v>
      </c>
      <c r="E47" s="36">
        <f t="shared" si="8"/>
        <v>27</v>
      </c>
      <c r="F47" s="34">
        <v>27</v>
      </c>
      <c r="G47" s="35">
        <v>766.9</v>
      </c>
      <c r="H47" s="39">
        <v>40656279.199999996</v>
      </c>
      <c r="J47" s="112"/>
      <c r="K47" s="113"/>
      <c r="L47"/>
      <c r="M47" s="42"/>
      <c r="N47" s="43"/>
      <c r="O47" s="110"/>
      <c r="P47" s="111"/>
    </row>
    <row r="48" spans="1:16" x14ac:dyDescent="0.25">
      <c r="A48" s="32">
        <v>6</v>
      </c>
      <c r="B48" s="33" t="s">
        <v>52</v>
      </c>
      <c r="C48" s="34">
        <v>17</v>
      </c>
      <c r="D48" s="35">
        <v>2</v>
      </c>
      <c r="E48" s="36">
        <f t="shared" si="8"/>
        <v>19</v>
      </c>
      <c r="F48" s="34">
        <v>14</v>
      </c>
      <c r="G48" s="35">
        <v>509.5</v>
      </c>
      <c r="H48" s="39">
        <v>25514554.5</v>
      </c>
      <c r="J48" s="112">
        <v>54</v>
      </c>
      <c r="K48" s="113">
        <v>2033192.3150289017</v>
      </c>
      <c r="L48"/>
      <c r="M48" s="42">
        <f>G48/J48</f>
        <v>9.4351851851851851</v>
      </c>
      <c r="N48" s="43">
        <f>H48/K48</f>
        <v>12.549011872316324</v>
      </c>
    </row>
    <row r="49" spans="1:16" x14ac:dyDescent="0.25">
      <c r="A49" s="32">
        <v>7</v>
      </c>
      <c r="B49" s="33" t="s">
        <v>60</v>
      </c>
      <c r="C49" s="34">
        <v>3</v>
      </c>
      <c r="D49" s="35">
        <v>1</v>
      </c>
      <c r="E49" s="36">
        <f t="shared" si="8"/>
        <v>4</v>
      </c>
      <c r="F49" s="34">
        <v>2</v>
      </c>
      <c r="G49" s="35">
        <v>36.6</v>
      </c>
      <c r="H49" s="39">
        <v>1962248.2</v>
      </c>
      <c r="J49" s="138"/>
      <c r="K49" s="139"/>
      <c r="L49"/>
      <c r="M49" s="42" t="e">
        <f t="shared" ref="M49:N49" si="10">G49/J49</f>
        <v>#DIV/0!</v>
      </c>
      <c r="N49" s="43" t="e">
        <f t="shared" si="10"/>
        <v>#DIV/0!</v>
      </c>
    </row>
    <row r="50" spans="1:16" ht="15.75" thickBot="1" x14ac:dyDescent="0.3">
      <c r="A50" s="75"/>
      <c r="B50" s="76"/>
      <c r="C50" s="45"/>
      <c r="D50" s="46"/>
      <c r="E50" s="77"/>
      <c r="F50" s="78"/>
      <c r="G50" s="114"/>
      <c r="H50" s="80"/>
      <c r="J50" s="115"/>
      <c r="K50" s="116"/>
      <c r="L50"/>
      <c r="M50" s="83"/>
      <c r="N50" s="117"/>
    </row>
    <row r="51" spans="1:16" ht="15.75" thickBot="1" x14ac:dyDescent="0.3">
      <c r="A51" s="118"/>
      <c r="B51" s="119" t="s">
        <v>53</v>
      </c>
      <c r="C51" s="120">
        <f t="shared" ref="C51:E51" si="11">SUM(C43:C48)</f>
        <v>73</v>
      </c>
      <c r="D51" s="121">
        <f>SUM(D43:D49)</f>
        <v>22</v>
      </c>
      <c r="E51" s="122">
        <f t="shared" si="11"/>
        <v>94</v>
      </c>
      <c r="F51" s="123">
        <f>SUM(F43:F50)</f>
        <v>79</v>
      </c>
      <c r="G51" s="126">
        <f>SUM(G43:G49)</f>
        <v>2368</v>
      </c>
      <c r="H51" s="125">
        <f>SUM(H43:H49)</f>
        <v>123929748.39999999</v>
      </c>
      <c r="J51" s="127">
        <f>SUM(J43:J50)</f>
        <v>846</v>
      </c>
      <c r="K51" s="127">
        <f>SUM(K43:K50)</f>
        <v>42105880.53468208</v>
      </c>
      <c r="L51"/>
      <c r="M51" s="128">
        <f>G51/J51</f>
        <v>2.7990543735224587</v>
      </c>
      <c r="N51" s="129">
        <f>H51/K51</f>
        <v>2.9432883679494752</v>
      </c>
      <c r="O51" s="130"/>
      <c r="P51" s="130"/>
    </row>
    <row r="52" spans="1:16" x14ac:dyDescent="0.25">
      <c r="A52" s="60"/>
      <c r="B52" s="98"/>
      <c r="C52" s="62"/>
      <c r="D52" s="63"/>
      <c r="E52" s="131"/>
      <c r="F52" s="71"/>
      <c r="G52" s="132"/>
      <c r="H52" s="132"/>
      <c r="J52" s="40"/>
      <c r="K52" s="103"/>
      <c r="L52"/>
      <c r="M52" s="69"/>
      <c r="N52" s="70"/>
    </row>
    <row r="53" spans="1:16" x14ac:dyDescent="0.25">
      <c r="A53" s="32"/>
      <c r="B53" s="102"/>
      <c r="C53" s="34"/>
      <c r="D53" s="35"/>
      <c r="E53" s="64"/>
      <c r="F53" s="37"/>
      <c r="G53" s="134"/>
      <c r="H53" s="39"/>
      <c r="J53" s="40"/>
      <c r="K53" s="103"/>
      <c r="L53"/>
      <c r="M53" s="42"/>
      <c r="N53" s="104"/>
    </row>
    <row r="54" spans="1:16" x14ac:dyDescent="0.25">
      <c r="A54" s="32"/>
      <c r="B54" s="105"/>
      <c r="C54" s="34"/>
      <c r="D54" s="35"/>
      <c r="E54" s="36"/>
      <c r="F54" s="34"/>
      <c r="G54" s="35"/>
      <c r="H54" s="39"/>
      <c r="J54" s="40"/>
      <c r="K54" s="103"/>
      <c r="L54"/>
      <c r="M54" s="42"/>
      <c r="N54" s="104"/>
    </row>
    <row r="55" spans="1:16" x14ac:dyDescent="0.25">
      <c r="A55" s="32">
        <v>1</v>
      </c>
      <c r="B55" s="33" t="s">
        <v>54</v>
      </c>
      <c r="C55" s="34">
        <v>2</v>
      </c>
      <c r="D55" s="35">
        <v>3</v>
      </c>
      <c r="E55" s="36">
        <f t="shared" ref="E55:E60" si="12">C55+D55</f>
        <v>5</v>
      </c>
      <c r="F55" s="34">
        <v>5</v>
      </c>
      <c r="G55" s="35">
        <v>133</v>
      </c>
      <c r="H55" s="39">
        <v>6848548</v>
      </c>
      <c r="I55" s="48"/>
      <c r="J55" s="135">
        <v>375</v>
      </c>
      <c r="K55" s="136">
        <v>15139674.693641618</v>
      </c>
      <c r="L55" s="48"/>
      <c r="M55" s="42">
        <f>G55/J55</f>
        <v>0.35466666666666669</v>
      </c>
      <c r="N55" s="43">
        <f t="shared" ref="M55:N60" si="13">H55/K55</f>
        <v>0.45235767204933819</v>
      </c>
    </row>
    <row r="56" spans="1:16" x14ac:dyDescent="0.25">
      <c r="A56" s="32">
        <f>A55+1</f>
        <v>2</v>
      </c>
      <c r="B56" s="44" t="s">
        <v>55</v>
      </c>
      <c r="C56" s="45">
        <v>2</v>
      </c>
      <c r="D56" s="46"/>
      <c r="E56" s="36">
        <f t="shared" si="12"/>
        <v>2</v>
      </c>
      <c r="F56" s="34">
        <v>1</v>
      </c>
      <c r="G56" s="35">
        <v>7</v>
      </c>
      <c r="H56" s="39">
        <v>364728</v>
      </c>
      <c r="I56" s="48"/>
      <c r="J56" s="40"/>
      <c r="K56" s="103"/>
      <c r="L56" s="48"/>
      <c r="M56" s="42" t="e">
        <f t="shared" si="13"/>
        <v>#DIV/0!</v>
      </c>
      <c r="N56" s="43" t="e">
        <f t="shared" si="13"/>
        <v>#DIV/0!</v>
      </c>
    </row>
    <row r="57" spans="1:16" x14ac:dyDescent="0.25">
      <c r="A57" s="32">
        <f>A56+1</f>
        <v>3</v>
      </c>
      <c r="B57" s="33" t="s">
        <v>56</v>
      </c>
      <c r="C57" s="34">
        <v>7</v>
      </c>
      <c r="D57" s="35"/>
      <c r="E57" s="36">
        <f t="shared" si="12"/>
        <v>7</v>
      </c>
      <c r="F57" s="34">
        <v>5</v>
      </c>
      <c r="G57" s="35">
        <v>197</v>
      </c>
      <c r="H57" s="39">
        <v>10648181</v>
      </c>
      <c r="I57" s="48"/>
      <c r="J57" s="40"/>
      <c r="K57" s="103"/>
      <c r="L57" s="48"/>
      <c r="M57" s="42" t="e">
        <f t="shared" si="13"/>
        <v>#DIV/0!</v>
      </c>
      <c r="N57" s="43" t="e">
        <f t="shared" si="13"/>
        <v>#DIV/0!</v>
      </c>
    </row>
    <row r="58" spans="1:16" x14ac:dyDescent="0.25">
      <c r="A58" s="32">
        <f>A57+1</f>
        <v>4</v>
      </c>
      <c r="B58" s="33" t="s">
        <v>57</v>
      </c>
      <c r="C58" s="34">
        <v>10</v>
      </c>
      <c r="D58" s="35">
        <v>7</v>
      </c>
      <c r="E58" s="36">
        <f t="shared" si="12"/>
        <v>17</v>
      </c>
      <c r="F58" s="34">
        <v>19</v>
      </c>
      <c r="G58" s="35">
        <v>1278</v>
      </c>
      <c r="H58" s="39">
        <v>64843544.5</v>
      </c>
      <c r="J58" s="40">
        <v>1326</v>
      </c>
      <c r="K58" s="103">
        <v>54707489.956647396</v>
      </c>
      <c r="L58"/>
      <c r="M58" s="42">
        <f t="shared" si="13"/>
        <v>0.96380090497737558</v>
      </c>
      <c r="N58" s="43">
        <f t="shared" si="13"/>
        <v>1.1852772728448127</v>
      </c>
    </row>
    <row r="59" spans="1:16" x14ac:dyDescent="0.25">
      <c r="A59" s="32">
        <f>A58+1</f>
        <v>5</v>
      </c>
      <c r="B59" s="33" t="s">
        <v>58</v>
      </c>
      <c r="C59" s="34">
        <v>2</v>
      </c>
      <c r="D59" s="35"/>
      <c r="E59" s="36">
        <f t="shared" si="12"/>
        <v>2</v>
      </c>
      <c r="F59" s="34">
        <v>1</v>
      </c>
      <c r="G59" s="35">
        <v>21</v>
      </c>
      <c r="H59" s="39">
        <v>1133280</v>
      </c>
      <c r="I59" s="48"/>
      <c r="J59" s="40"/>
      <c r="K59" s="41"/>
      <c r="L59" s="48"/>
      <c r="M59" s="42" t="e">
        <f t="shared" si="13"/>
        <v>#DIV/0!</v>
      </c>
      <c r="N59" s="43" t="e">
        <f t="shared" si="13"/>
        <v>#DIV/0!</v>
      </c>
    </row>
    <row r="60" spans="1:16" x14ac:dyDescent="0.25">
      <c r="A60" s="75">
        <f>A59+1</f>
        <v>6</v>
      </c>
      <c r="B60" s="44" t="s">
        <v>59</v>
      </c>
      <c r="C60" s="45">
        <v>1</v>
      </c>
      <c r="D60" s="46"/>
      <c r="E60" s="36">
        <f t="shared" si="12"/>
        <v>1</v>
      </c>
      <c r="F60" s="34"/>
      <c r="G60" s="35"/>
      <c r="H60" s="39"/>
      <c r="I60" s="48"/>
      <c r="J60" s="137">
        <v>12</v>
      </c>
      <c r="K60" s="55">
        <v>485318.73410404625</v>
      </c>
      <c r="L60" s="48"/>
      <c r="M60" s="42">
        <f t="shared" si="13"/>
        <v>0</v>
      </c>
      <c r="N60" s="43">
        <f t="shared" si="13"/>
        <v>0</v>
      </c>
    </row>
    <row r="61" spans="1:16" ht="15.75" thickBot="1" x14ac:dyDescent="0.3">
      <c r="A61" s="32"/>
      <c r="B61" s="33"/>
      <c r="C61" s="34"/>
      <c r="D61" s="35"/>
      <c r="E61" s="36"/>
      <c r="F61" s="34"/>
      <c r="G61" s="35"/>
      <c r="H61" s="39"/>
      <c r="J61" s="138"/>
      <c r="K61" s="139"/>
      <c r="L61"/>
      <c r="M61" s="42"/>
      <c r="N61" s="43"/>
    </row>
    <row r="62" spans="1:16" ht="15.75" thickBot="1" x14ac:dyDescent="0.3">
      <c r="A62" s="140"/>
      <c r="B62" s="141" t="s">
        <v>61</v>
      </c>
      <c r="C62" s="142">
        <f t="shared" ref="C62:K62" si="14">SUM(C55:C60)</f>
        <v>24</v>
      </c>
      <c r="D62" s="143">
        <f t="shared" si="14"/>
        <v>10</v>
      </c>
      <c r="E62" s="143">
        <f t="shared" si="14"/>
        <v>34</v>
      </c>
      <c r="F62" s="147">
        <f t="shared" si="14"/>
        <v>31</v>
      </c>
      <c r="G62" s="147">
        <f t="shared" si="14"/>
        <v>1636</v>
      </c>
      <c r="H62" s="147">
        <f t="shared" si="14"/>
        <v>83838281.5</v>
      </c>
      <c r="I62" s="148">
        <f t="shared" si="14"/>
        <v>0</v>
      </c>
      <c r="J62" s="147">
        <f t="shared" si="14"/>
        <v>1713</v>
      </c>
      <c r="K62" s="147">
        <f t="shared" si="14"/>
        <v>70332483.384393066</v>
      </c>
      <c r="L62"/>
      <c r="M62" s="149">
        <f>G62/J62</f>
        <v>0.95504962054874487</v>
      </c>
      <c r="N62" s="150">
        <f>H62/K62</f>
        <v>1.1920278862014972</v>
      </c>
    </row>
    <row r="63" spans="1:16" x14ac:dyDescent="0.25">
      <c r="A63" s="60"/>
      <c r="B63" s="98"/>
      <c r="C63" s="62"/>
      <c r="D63" s="63"/>
      <c r="E63" s="64"/>
      <c r="F63" s="71"/>
      <c r="G63" s="132"/>
      <c r="H63" s="100"/>
      <c r="J63" s="40"/>
      <c r="K63" s="103"/>
      <c r="L63"/>
      <c r="M63" s="69"/>
      <c r="N63" s="70"/>
    </row>
    <row r="64" spans="1:16" x14ac:dyDescent="0.25">
      <c r="A64" s="32"/>
      <c r="B64" s="102"/>
      <c r="C64" s="34"/>
      <c r="D64" s="35"/>
      <c r="E64" s="36"/>
      <c r="F64" s="37"/>
      <c r="G64" s="134"/>
      <c r="H64" s="39"/>
      <c r="J64" s="40"/>
      <c r="K64" s="103"/>
      <c r="L64"/>
      <c r="M64" s="42"/>
      <c r="N64" s="104"/>
    </row>
    <row r="65" spans="1:14" x14ac:dyDescent="0.25">
      <c r="A65" s="32"/>
      <c r="B65" s="105"/>
      <c r="C65" s="34"/>
      <c r="D65" s="35"/>
      <c r="E65" s="36"/>
      <c r="F65" s="37"/>
      <c r="G65" s="134"/>
      <c r="H65" s="39"/>
      <c r="J65" s="40"/>
      <c r="K65" s="103"/>
      <c r="L65"/>
      <c r="M65" s="42"/>
      <c r="N65" s="104"/>
    </row>
    <row r="66" spans="1:14" x14ac:dyDescent="0.25">
      <c r="A66" s="32">
        <v>1</v>
      </c>
      <c r="B66" s="33" t="s">
        <v>62</v>
      </c>
      <c r="C66" s="34">
        <v>6</v>
      </c>
      <c r="D66" s="35"/>
      <c r="E66" s="36">
        <f t="shared" ref="E66:E71" si="15">C66+D66</f>
        <v>6</v>
      </c>
      <c r="F66" s="34">
        <v>6</v>
      </c>
      <c r="G66" s="108">
        <v>79.7</v>
      </c>
      <c r="H66" s="39">
        <v>4828922.2</v>
      </c>
      <c r="J66" s="112"/>
      <c r="K66" s="113"/>
      <c r="L66"/>
      <c r="M66" s="42" t="e">
        <f t="shared" ref="M66:N70" si="16">G66/J66</f>
        <v>#DIV/0!</v>
      </c>
      <c r="N66" s="43" t="e">
        <f t="shared" si="16"/>
        <v>#DIV/0!</v>
      </c>
    </row>
    <row r="67" spans="1:14" x14ac:dyDescent="0.25">
      <c r="A67" s="32">
        <f>A66+1</f>
        <v>2</v>
      </c>
      <c r="B67" s="33" t="s">
        <v>63</v>
      </c>
      <c r="C67" s="34">
        <v>3</v>
      </c>
      <c r="D67" s="35"/>
      <c r="E67" s="36">
        <f t="shared" si="15"/>
        <v>3</v>
      </c>
      <c r="F67" s="34">
        <v>2</v>
      </c>
      <c r="G67" s="108">
        <v>16.600000000000001</v>
      </c>
      <c r="H67" s="39">
        <v>1058242</v>
      </c>
      <c r="J67" s="112"/>
      <c r="K67" s="113"/>
      <c r="L67"/>
      <c r="M67" s="42" t="e">
        <f t="shared" si="16"/>
        <v>#DIV/0!</v>
      </c>
      <c r="N67" s="43" t="e">
        <f t="shared" si="16"/>
        <v>#DIV/0!</v>
      </c>
    </row>
    <row r="68" spans="1:14" x14ac:dyDescent="0.25">
      <c r="A68" s="32">
        <f>A67+1</f>
        <v>3</v>
      </c>
      <c r="B68" s="33" t="s">
        <v>64</v>
      </c>
      <c r="C68" s="34">
        <v>2</v>
      </c>
      <c r="D68" s="35">
        <v>1</v>
      </c>
      <c r="E68" s="36">
        <f t="shared" si="15"/>
        <v>3</v>
      </c>
      <c r="F68" s="34">
        <v>3</v>
      </c>
      <c r="G68" s="108">
        <v>28.5</v>
      </c>
      <c r="H68" s="39">
        <v>1410529</v>
      </c>
      <c r="J68" s="112"/>
      <c r="K68" s="113"/>
      <c r="L68"/>
      <c r="M68" s="42" t="e">
        <f t="shared" si="16"/>
        <v>#DIV/0!</v>
      </c>
      <c r="N68" s="43" t="e">
        <f t="shared" si="16"/>
        <v>#DIV/0!</v>
      </c>
    </row>
    <row r="69" spans="1:14" x14ac:dyDescent="0.25">
      <c r="A69" s="32">
        <f>A68+1</f>
        <v>4</v>
      </c>
      <c r="B69" s="33" t="s">
        <v>65</v>
      </c>
      <c r="C69" s="34">
        <v>6</v>
      </c>
      <c r="D69" s="35">
        <v>4</v>
      </c>
      <c r="E69" s="36">
        <f t="shared" si="15"/>
        <v>10</v>
      </c>
      <c r="F69" s="34">
        <v>1</v>
      </c>
      <c r="G69" s="108">
        <v>1.5</v>
      </c>
      <c r="H69" s="39">
        <v>65521.5</v>
      </c>
      <c r="J69" s="112">
        <v>9</v>
      </c>
      <c r="K69" s="113">
        <v>341371.76878612716</v>
      </c>
      <c r="L69"/>
      <c r="M69" s="42">
        <f t="shared" si="16"/>
        <v>0.16666666666666666</v>
      </c>
      <c r="N69" s="43">
        <f t="shared" si="16"/>
        <v>0.19193590680619485</v>
      </c>
    </row>
    <row r="70" spans="1:14" x14ac:dyDescent="0.25">
      <c r="A70" s="32">
        <f>A69+1</f>
        <v>5</v>
      </c>
      <c r="B70" s="33" t="s">
        <v>66</v>
      </c>
      <c r="C70" s="34">
        <v>2</v>
      </c>
      <c r="D70" s="35"/>
      <c r="E70" s="36">
        <f t="shared" si="15"/>
        <v>2</v>
      </c>
      <c r="F70" s="34">
        <v>1</v>
      </c>
      <c r="G70" s="108">
        <v>16.5</v>
      </c>
      <c r="H70" s="39">
        <v>951868.5</v>
      </c>
      <c r="I70" s="48"/>
      <c r="J70" s="40"/>
      <c r="K70" s="103"/>
      <c r="L70" s="48"/>
      <c r="M70" s="42" t="e">
        <f t="shared" si="16"/>
        <v>#DIV/0!</v>
      </c>
      <c r="N70" s="43" t="e">
        <f t="shared" si="16"/>
        <v>#DIV/0!</v>
      </c>
    </row>
    <row r="71" spans="1:14" x14ac:dyDescent="0.25">
      <c r="A71" s="32">
        <f>A70+1</f>
        <v>6</v>
      </c>
      <c r="B71" s="33" t="s">
        <v>67</v>
      </c>
      <c r="C71" s="34"/>
      <c r="D71" s="35"/>
      <c r="E71" s="36">
        <f t="shared" si="15"/>
        <v>0</v>
      </c>
      <c r="F71" s="34"/>
      <c r="G71" s="108"/>
      <c r="H71" s="39"/>
      <c r="J71" s="135">
        <v>330</v>
      </c>
      <c r="K71" s="136">
        <v>13341525.699421965</v>
      </c>
      <c r="L71"/>
      <c r="M71" s="65">
        <f>(G72+G73)/J71</f>
        <v>0.26212121212121214</v>
      </c>
      <c r="N71" s="66">
        <f>(H72+H73)/K71</f>
        <v>0.35359919144812596</v>
      </c>
    </row>
    <row r="72" spans="1:14" s="48" customFormat="1" x14ac:dyDescent="0.25">
      <c r="A72" s="51"/>
      <c r="B72" s="57" t="s">
        <v>68</v>
      </c>
      <c r="C72" s="53">
        <v>7</v>
      </c>
      <c r="D72" s="54">
        <v>2</v>
      </c>
      <c r="E72" s="55"/>
      <c r="F72" s="34">
        <v>7</v>
      </c>
      <c r="G72" s="108">
        <v>86.5</v>
      </c>
      <c r="H72" s="39">
        <v>4717552.7</v>
      </c>
      <c r="J72" s="40"/>
      <c r="K72" s="103"/>
      <c r="M72" s="49" t="e">
        <f>(G72+G73)/J72</f>
        <v>#DIV/0!</v>
      </c>
      <c r="N72" s="50" t="e">
        <f>(H72+H73)/K72</f>
        <v>#DIV/0!</v>
      </c>
    </row>
    <row r="73" spans="1:14" x14ac:dyDescent="0.25">
      <c r="A73" s="32"/>
      <c r="B73" s="57" t="s">
        <v>69</v>
      </c>
      <c r="C73" s="34">
        <v>1</v>
      </c>
      <c r="D73" s="35"/>
      <c r="E73" s="36"/>
      <c r="F73" s="34"/>
      <c r="G73" s="108"/>
      <c r="H73" s="39"/>
      <c r="J73" s="40"/>
      <c r="K73" s="103"/>
      <c r="L73"/>
      <c r="M73" s="42"/>
      <c r="N73" s="43"/>
    </row>
    <row r="74" spans="1:14" x14ac:dyDescent="0.25">
      <c r="A74" s="32">
        <v>7</v>
      </c>
      <c r="B74" s="33" t="s">
        <v>71</v>
      </c>
      <c r="C74" s="34">
        <v>3</v>
      </c>
      <c r="D74" s="35"/>
      <c r="E74" s="36">
        <f>C74+D74</f>
        <v>3</v>
      </c>
      <c r="F74" s="34"/>
      <c r="G74" s="108"/>
      <c r="H74" s="39"/>
      <c r="J74" s="112"/>
      <c r="K74" s="113"/>
      <c r="L74"/>
      <c r="M74" s="42" t="e">
        <f>G74/J74</f>
        <v>#DIV/0!</v>
      </c>
      <c r="N74" s="43" t="e">
        <f>H74/K74</f>
        <v>#DIV/0!</v>
      </c>
    </row>
    <row r="75" spans="1:14" x14ac:dyDescent="0.25">
      <c r="A75" s="32">
        <f>A74+1</f>
        <v>8</v>
      </c>
      <c r="B75" s="33" t="s">
        <v>72</v>
      </c>
      <c r="C75" s="34">
        <v>3</v>
      </c>
      <c r="D75" s="35">
        <v>1</v>
      </c>
      <c r="E75" s="36">
        <f>C75+D75</f>
        <v>4</v>
      </c>
      <c r="F75" s="34">
        <v>3</v>
      </c>
      <c r="G75" s="108">
        <v>36.5</v>
      </c>
      <c r="H75" s="39">
        <v>1921322</v>
      </c>
      <c r="J75" s="112">
        <v>35</v>
      </c>
      <c r="K75" s="113">
        <v>1745620.1849710983</v>
      </c>
      <c r="L75"/>
      <c r="M75" s="153">
        <f>(G74+G75)/J75</f>
        <v>1.0428571428571429</v>
      </c>
      <c r="N75" s="50">
        <f>(H74+H75)/K75</f>
        <v>1.100652946466594</v>
      </c>
    </row>
    <row r="76" spans="1:14" s="48" customFormat="1" x14ac:dyDescent="0.25">
      <c r="A76" s="51">
        <f>A75+1</f>
        <v>9</v>
      </c>
      <c r="B76" s="154" t="s">
        <v>73</v>
      </c>
      <c r="C76" s="53">
        <v>5</v>
      </c>
      <c r="D76" s="54">
        <v>1</v>
      </c>
      <c r="E76" s="55">
        <f>C76+D76</f>
        <v>6</v>
      </c>
      <c r="F76" s="53"/>
      <c r="G76" s="251"/>
      <c r="H76" s="56"/>
      <c r="J76" s="112">
        <v>528</v>
      </c>
      <c r="K76" s="113">
        <v>20198726.289017342</v>
      </c>
      <c r="M76" s="155">
        <f>(G77+G78)/J76</f>
        <v>0.71496212121212122</v>
      </c>
      <c r="N76" s="66">
        <f>(H77+H78)/K76</f>
        <v>0.95996451571022878</v>
      </c>
    </row>
    <row r="77" spans="1:14" s="48" customFormat="1" x14ac:dyDescent="0.25">
      <c r="A77" s="51"/>
      <c r="B77" s="154" t="s">
        <v>74</v>
      </c>
      <c r="C77" s="53"/>
      <c r="D77" s="54"/>
      <c r="E77" s="55">
        <f>C77+D77</f>
        <v>0</v>
      </c>
      <c r="F77" s="53">
        <v>6</v>
      </c>
      <c r="G77" s="251">
        <v>377.5</v>
      </c>
      <c r="H77" s="56">
        <v>19390060.5</v>
      </c>
      <c r="J77" s="112"/>
      <c r="K77" s="113"/>
      <c r="M77" s="109"/>
      <c r="N77" s="66"/>
    </row>
    <row r="78" spans="1:14" s="48" customFormat="1" x14ac:dyDescent="0.25">
      <c r="A78" s="51"/>
      <c r="B78" s="156" t="s">
        <v>75</v>
      </c>
      <c r="C78" s="157"/>
      <c r="D78" s="158"/>
      <c r="E78" s="55"/>
      <c r="F78" s="53"/>
      <c r="G78" s="251"/>
      <c r="H78" s="56"/>
      <c r="J78" s="112"/>
      <c r="K78" s="113"/>
      <c r="M78" s="109"/>
      <c r="N78" s="66"/>
    </row>
    <row r="79" spans="1:14" x14ac:dyDescent="0.25">
      <c r="A79" s="32">
        <f>A76+1</f>
        <v>10</v>
      </c>
      <c r="B79" s="33" t="s">
        <v>76</v>
      </c>
      <c r="C79" s="53"/>
      <c r="D79" s="54"/>
      <c r="E79" s="36">
        <f>C79+D79</f>
        <v>0</v>
      </c>
      <c r="F79" s="34"/>
      <c r="G79" s="108"/>
      <c r="H79" s="39"/>
      <c r="J79" s="112"/>
      <c r="K79" s="113"/>
      <c r="L79"/>
      <c r="M79" s="42" t="e">
        <f>G79/J79</f>
        <v>#DIV/0!</v>
      </c>
      <c r="N79" s="43" t="e">
        <f>H79/K79</f>
        <v>#DIV/0!</v>
      </c>
    </row>
    <row r="80" spans="1:14" ht="15.75" thickBot="1" x14ac:dyDescent="0.3">
      <c r="A80" s="159"/>
      <c r="B80" s="76"/>
      <c r="C80" s="45"/>
      <c r="D80" s="46"/>
      <c r="E80" s="77"/>
      <c r="F80" s="78"/>
      <c r="G80" s="276"/>
      <c r="H80" s="80"/>
      <c r="J80" s="137"/>
      <c r="K80" s="116"/>
      <c r="L80"/>
      <c r="M80" s="83"/>
      <c r="N80" s="117"/>
    </row>
    <row r="81" spans="1:32" ht="15.75" thickBot="1" x14ac:dyDescent="0.3">
      <c r="A81" s="160"/>
      <c r="B81" s="161" t="s">
        <v>77</v>
      </c>
      <c r="C81" s="162">
        <f t="shared" ref="C81:H81" si="17">SUM(C65:C79)</f>
        <v>38</v>
      </c>
      <c r="D81" s="163">
        <f t="shared" si="17"/>
        <v>9</v>
      </c>
      <c r="E81" s="164">
        <f t="shared" si="17"/>
        <v>37</v>
      </c>
      <c r="F81" s="165">
        <f t="shared" si="17"/>
        <v>29</v>
      </c>
      <c r="G81" s="277">
        <f t="shared" si="17"/>
        <v>643.29999999999995</v>
      </c>
      <c r="H81" s="278">
        <f t="shared" si="17"/>
        <v>34344018.399999999</v>
      </c>
      <c r="J81" s="169">
        <f>SUM(J65:J80)</f>
        <v>902</v>
      </c>
      <c r="K81" s="170">
        <f>SUM(K65:K80)</f>
        <v>35627243.942196533</v>
      </c>
      <c r="L81"/>
      <c r="M81" s="171">
        <f>G81/J81</f>
        <v>0.71319290465631924</v>
      </c>
      <c r="N81" s="172">
        <f>H81/K81</f>
        <v>0.96398190260581185</v>
      </c>
    </row>
    <row r="82" spans="1:32" x14ac:dyDescent="0.25">
      <c r="A82" s="173"/>
      <c r="B82" s="98"/>
      <c r="C82" s="62"/>
      <c r="D82" s="63"/>
      <c r="E82" s="100"/>
      <c r="F82" s="99"/>
      <c r="G82" s="132"/>
      <c r="H82" s="174"/>
      <c r="J82" s="175"/>
      <c r="K82" s="176"/>
      <c r="L82"/>
      <c r="M82" s="177"/>
      <c r="N82" s="178"/>
    </row>
    <row r="83" spans="1:32" x14ac:dyDescent="0.25">
      <c r="A83" s="179"/>
      <c r="B83" s="102"/>
      <c r="C83" s="180"/>
      <c r="D83" s="181"/>
      <c r="E83" s="182"/>
      <c r="F83" s="151"/>
      <c r="G83" s="183"/>
      <c r="H83" s="184"/>
      <c r="J83" s="99"/>
      <c r="K83" s="174"/>
      <c r="L83"/>
      <c r="M83" s="177"/>
      <c r="N83" s="178"/>
    </row>
    <row r="84" spans="1:32" x14ac:dyDescent="0.25">
      <c r="A84" s="179"/>
      <c r="B84" s="185"/>
      <c r="C84" s="34"/>
      <c r="D84" s="35"/>
      <c r="E84" s="39"/>
      <c r="F84" s="133"/>
      <c r="G84" s="134"/>
      <c r="H84" s="152"/>
      <c r="J84" s="186"/>
      <c r="K84" s="152"/>
      <c r="L84"/>
      <c r="M84" s="42"/>
      <c r="N84" s="43"/>
    </row>
    <row r="85" spans="1:32" ht="15.75" thickBot="1" x14ac:dyDescent="0.3">
      <c r="A85" s="187"/>
      <c r="B85" s="188"/>
      <c r="C85" s="189"/>
      <c r="D85" s="190"/>
      <c r="E85" s="191"/>
      <c r="F85" s="192"/>
      <c r="G85" s="193"/>
      <c r="H85" s="191"/>
      <c r="J85" s="194"/>
      <c r="K85" s="195"/>
      <c r="L85"/>
      <c r="M85" s="196"/>
      <c r="N85" s="197"/>
    </row>
    <row r="86" spans="1:32" ht="15.75" thickBot="1" x14ac:dyDescent="0.3">
      <c r="A86" s="198"/>
      <c r="B86" s="199" t="s">
        <v>78</v>
      </c>
      <c r="C86" s="200">
        <f t="shared" ref="C86:H86" si="18">C81+C62+C51+C39</f>
        <v>298</v>
      </c>
      <c r="D86" s="200">
        <f t="shared" si="18"/>
        <v>138</v>
      </c>
      <c r="E86" s="200">
        <f t="shared" si="18"/>
        <v>389</v>
      </c>
      <c r="F86" s="200">
        <f t="shared" si="18"/>
        <v>384</v>
      </c>
      <c r="G86" s="201">
        <f t="shared" si="18"/>
        <v>12466.6</v>
      </c>
      <c r="H86" s="201">
        <f t="shared" si="18"/>
        <v>621021220.79999995</v>
      </c>
      <c r="J86" s="200">
        <f>J81+J62+J51+J39</f>
        <v>5339</v>
      </c>
      <c r="K86" s="200">
        <f>K81+K62+K51+K39</f>
        <v>231702602.16184974</v>
      </c>
      <c r="L86"/>
      <c r="M86" s="202">
        <f>G86/J86</f>
        <v>2.3350065555347443</v>
      </c>
      <c r="N86" s="203">
        <f>H86/K86</f>
        <v>2.6802513869317788</v>
      </c>
    </row>
    <row r="87" spans="1:32" x14ac:dyDescent="0.25">
      <c r="G87" s="204"/>
      <c r="H87" s="204"/>
      <c r="J87" s="110"/>
      <c r="K87" s="111"/>
      <c r="M87" s="205"/>
      <c r="N87" s="206"/>
      <c r="P87" s="110"/>
      <c r="Q87" s="111"/>
      <c r="S87" s="110"/>
      <c r="T87" s="111"/>
      <c r="V87" s="110"/>
      <c r="W87" s="111"/>
      <c r="Y87" s="111"/>
      <c r="Z87" s="111"/>
      <c r="AB87" s="110"/>
      <c r="AC87" s="110"/>
      <c r="AE87" s="207"/>
      <c r="AF87" s="207"/>
    </row>
    <row r="88" spans="1:32" x14ac:dyDescent="0.25">
      <c r="C88" s="208"/>
      <c r="D88" s="209"/>
      <c r="E88" s="209"/>
      <c r="G88" s="204"/>
      <c r="H88" s="204"/>
      <c r="J88" s="204"/>
      <c r="K88" s="204"/>
      <c r="M88" s="204"/>
      <c r="N88" s="204"/>
      <c r="P88" s="204"/>
      <c r="Q88" s="110"/>
      <c r="S88" s="204"/>
      <c r="T88" s="110"/>
      <c r="V88" s="110"/>
      <c r="W88" s="110"/>
      <c r="Y88" s="110"/>
      <c r="Z88" s="110"/>
      <c r="AB88" s="110"/>
      <c r="AC88" s="110"/>
      <c r="AE88" s="207"/>
      <c r="AF88" s="207"/>
    </row>
    <row r="89" spans="1:32" ht="15.75" thickBot="1" x14ac:dyDescent="0.3">
      <c r="B89" s="210"/>
      <c r="C89" s="208"/>
      <c r="D89" s="209"/>
      <c r="E89" s="209"/>
      <c r="F89" s="211"/>
      <c r="G89" s="209"/>
      <c r="H89" s="209"/>
      <c r="K89" s="110"/>
      <c r="X89" s="111"/>
      <c r="Y89" s="111"/>
      <c r="Z89" s="111"/>
      <c r="AE89" s="207"/>
      <c r="AF89" s="207"/>
    </row>
    <row r="90" spans="1:32" ht="30.75" thickBot="1" x14ac:dyDescent="0.3">
      <c r="C90" s="351" t="s">
        <v>79</v>
      </c>
      <c r="D90" s="352"/>
      <c r="E90" s="352"/>
      <c r="F90" s="353"/>
      <c r="G90" s="214" t="s">
        <v>80</v>
      </c>
      <c r="H90" s="215" t="s">
        <v>81</v>
      </c>
      <c r="J90" s="330" t="str">
        <f>J5</f>
        <v>BUDGET JULI</v>
      </c>
      <c r="K90" s="331"/>
      <c r="L90"/>
      <c r="M90" s="332" t="s">
        <v>5</v>
      </c>
      <c r="N90" s="333"/>
    </row>
    <row r="91" spans="1:32" x14ac:dyDescent="0.25">
      <c r="C91" s="354" t="s">
        <v>82</v>
      </c>
      <c r="D91" s="355"/>
      <c r="E91" s="355"/>
      <c r="F91" s="356"/>
      <c r="G91" s="218">
        <f>G39+G51</f>
        <v>10187.299999999999</v>
      </c>
      <c r="H91" s="218">
        <f>H39+H51</f>
        <v>502838920.89999998</v>
      </c>
      <c r="J91" s="219">
        <f>J39+J51</f>
        <v>2724</v>
      </c>
      <c r="K91" s="219">
        <f>K39+K51</f>
        <v>125742874.83526014</v>
      </c>
      <c r="L91"/>
      <c r="M91" s="220">
        <f t="shared" ref="M91:N94" si="19">G91/J91</f>
        <v>3.739831130690161</v>
      </c>
      <c r="N91" s="221">
        <f t="shared" si="19"/>
        <v>3.9989456385404401</v>
      </c>
    </row>
    <row r="92" spans="1:32" x14ac:dyDescent="0.25">
      <c r="C92" s="354" t="s">
        <v>83</v>
      </c>
      <c r="D92" s="355"/>
      <c r="E92" s="355"/>
      <c r="F92" s="356"/>
      <c r="G92" s="222">
        <f>G62</f>
        <v>1636</v>
      </c>
      <c r="H92" s="223">
        <f>H62</f>
        <v>83838281.5</v>
      </c>
      <c r="J92" s="224">
        <f>J62</f>
        <v>1713</v>
      </c>
      <c r="K92" s="224">
        <f>K62</f>
        <v>70332483.384393066</v>
      </c>
      <c r="L92"/>
      <c r="M92" s="225">
        <f t="shared" si="19"/>
        <v>0.95504962054874487</v>
      </c>
      <c r="N92" s="226">
        <f t="shared" si="19"/>
        <v>1.1920278862014972</v>
      </c>
    </row>
    <row r="93" spans="1:32" ht="15.75" thickBot="1" x14ac:dyDescent="0.3">
      <c r="C93" s="354" t="s">
        <v>84</v>
      </c>
      <c r="D93" s="355"/>
      <c r="E93" s="355"/>
      <c r="F93" s="356"/>
      <c r="G93" s="227">
        <f>G81</f>
        <v>643.29999999999995</v>
      </c>
      <c r="H93" s="228">
        <f>H81</f>
        <v>34344018.399999999</v>
      </c>
      <c r="J93" s="229">
        <f>J81</f>
        <v>902</v>
      </c>
      <c r="K93" s="230">
        <f>K81</f>
        <v>35627243.942196533</v>
      </c>
      <c r="L93"/>
      <c r="M93" s="231">
        <f t="shared" si="19"/>
        <v>0.71319290465631924</v>
      </c>
      <c r="N93" s="232">
        <f t="shared" si="19"/>
        <v>0.96398190260581185</v>
      </c>
    </row>
    <row r="94" spans="1:32" ht="15.75" thickBot="1" x14ac:dyDescent="0.3">
      <c r="C94" s="357" t="s">
        <v>78</v>
      </c>
      <c r="D94" s="358"/>
      <c r="E94" s="358"/>
      <c r="F94" s="359"/>
      <c r="G94" s="235">
        <f>SUM(G91:G93)</f>
        <v>12466.599999999999</v>
      </c>
      <c r="H94" s="279">
        <f>SUM(H91:H93)</f>
        <v>621021220.79999995</v>
      </c>
      <c r="J94" s="237">
        <f>SUM(J91:J93)</f>
        <v>5339</v>
      </c>
      <c r="K94" s="238">
        <f>SUM(K91:K93)</f>
        <v>231702602.16184974</v>
      </c>
      <c r="L94"/>
      <c r="M94" s="239">
        <f t="shared" si="19"/>
        <v>2.3350065555347439</v>
      </c>
      <c r="N94" s="240">
        <f t="shared" si="19"/>
        <v>2.6802513869317788</v>
      </c>
    </row>
    <row r="95" spans="1:32" x14ac:dyDescent="0.25">
      <c r="C95" s="208"/>
      <c r="D95" s="209"/>
      <c r="E95" s="209"/>
      <c r="F95" s="209"/>
      <c r="G95" s="209"/>
      <c r="H95" s="209"/>
      <c r="I95" s="4"/>
      <c r="J95" s="4"/>
      <c r="K95" s="4"/>
      <c r="R95" s="209"/>
      <c r="S95" s="209"/>
      <c r="T95" s="209"/>
      <c r="U95" s="209"/>
      <c r="V95" s="209"/>
      <c r="W95" s="209"/>
      <c r="X95" s="209"/>
      <c r="Y95" s="241"/>
      <c r="Z95" s="241"/>
      <c r="AA95" s="241"/>
      <c r="AB95" s="241"/>
      <c r="AC95" s="241"/>
    </row>
    <row r="96" spans="1:32" x14ac:dyDescent="0.25">
      <c r="AB96" s="242"/>
      <c r="AC96" s="242"/>
    </row>
    <row r="98" spans="2:14" x14ac:dyDescent="0.25">
      <c r="B98" s="47"/>
      <c r="L98"/>
      <c r="M98"/>
      <c r="N98"/>
    </row>
    <row r="99" spans="2:14" x14ac:dyDescent="0.25">
      <c r="B99" s="47"/>
      <c r="L99"/>
      <c r="M99"/>
      <c r="N99"/>
    </row>
    <row r="100" spans="2:14" x14ac:dyDescent="0.25">
      <c r="B100" s="47"/>
      <c r="L100"/>
      <c r="M100"/>
      <c r="N100"/>
    </row>
    <row r="101" spans="2:14" x14ac:dyDescent="0.25">
      <c r="B101" s="47"/>
      <c r="L101"/>
      <c r="M101"/>
      <c r="N101"/>
    </row>
  </sheetData>
  <mergeCells count="12">
    <mergeCell ref="C91:F91"/>
    <mergeCell ref="C92:F92"/>
    <mergeCell ref="C93:F93"/>
    <mergeCell ref="C94:F94"/>
    <mergeCell ref="C5:E6"/>
    <mergeCell ref="F5:H5"/>
    <mergeCell ref="J5:K6"/>
    <mergeCell ref="M5:N6"/>
    <mergeCell ref="F6:H6"/>
    <mergeCell ref="J90:K90"/>
    <mergeCell ref="M90:N90"/>
    <mergeCell ref="C90:F90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10"/>
  <sheetViews>
    <sheetView workbookViewId="0">
      <selection activeCell="K20" sqref="K20"/>
    </sheetView>
  </sheetViews>
  <sheetFormatPr defaultRowHeight="15" x14ac:dyDescent="0.25"/>
  <cols>
    <col min="1" max="1" width="7.140625" customWidth="1"/>
    <col min="2" max="2" width="28.140625" customWidth="1"/>
    <col min="3" max="3" width="6.7109375" hidden="1" customWidth="1"/>
    <col min="4" max="4" width="5.7109375" hidden="1" customWidth="1"/>
    <col min="5" max="5" width="5.85546875" hidden="1" customWidth="1"/>
    <col min="6" max="6" width="16" style="283" customWidth="1"/>
    <col min="7" max="7" width="15.7109375" style="283" customWidth="1"/>
    <col min="8" max="8" width="18.140625" customWidth="1"/>
    <col min="9" max="9" width="2" customWidth="1"/>
    <col min="10" max="10" width="11.42578125" customWidth="1"/>
    <col min="11" max="11" width="16.7109375" customWidth="1"/>
    <col min="12" max="12" width="2.7109375" style="4" customWidth="1"/>
    <col min="13" max="13" width="10.28515625" style="4" customWidth="1"/>
    <col min="14" max="14" width="9.140625" style="4" customWidth="1"/>
    <col min="15" max="16" width="9.140625" customWidth="1"/>
    <col min="17" max="17" width="13.7109375" customWidth="1"/>
    <col min="18" max="23" width="9.140625" customWidth="1"/>
    <col min="24" max="24" width="11.5703125" customWidth="1"/>
    <col min="25" max="25" width="11.85546875" customWidth="1"/>
    <col min="26" max="26" width="15.7109375" customWidth="1"/>
    <col min="27" max="27" width="1.5703125" customWidth="1"/>
    <col min="28" max="28" width="10.5703125" customWidth="1"/>
    <col min="29" max="29" width="20.7109375" customWidth="1"/>
    <col min="30" max="30" width="2" customWidth="1"/>
    <col min="31" max="31" width="10.140625" customWidth="1"/>
    <col min="32" max="32" width="13.7109375" customWidth="1"/>
    <col min="33" max="33" width="16.5703125" customWidth="1"/>
    <col min="34" max="34" width="16" customWidth="1"/>
    <col min="35" max="244" width="9.42578125" customWidth="1"/>
    <col min="245" max="245" width="7.140625" customWidth="1"/>
    <col min="246" max="246" width="35.28515625" customWidth="1"/>
    <col min="247" max="247" width="6.7109375" customWidth="1"/>
    <col min="248" max="248" width="5.7109375" customWidth="1"/>
    <col min="249" max="249" width="5.85546875" customWidth="1"/>
    <col min="250" max="250" width="7.85546875" customWidth="1"/>
    <col min="257" max="257" width="7.140625" customWidth="1"/>
    <col min="258" max="258" width="39.42578125" customWidth="1"/>
    <col min="259" max="259" width="6.7109375" customWidth="1"/>
    <col min="260" max="260" width="5.7109375" customWidth="1"/>
    <col min="261" max="261" width="5.85546875" customWidth="1"/>
    <col min="262" max="262" width="7.85546875" customWidth="1"/>
    <col min="263" max="263" width="14.28515625" customWidth="1"/>
    <col min="264" max="264" width="14" customWidth="1"/>
    <col min="265" max="279" width="0" hidden="1" customWidth="1"/>
    <col min="280" max="280" width="11.5703125" customWidth="1"/>
    <col min="281" max="281" width="11.85546875" customWidth="1"/>
    <col min="282" max="282" width="15.7109375" customWidth="1"/>
    <col min="283" max="283" width="1.5703125" customWidth="1"/>
    <col min="284" max="284" width="10.5703125" customWidth="1"/>
    <col min="285" max="285" width="20.7109375" customWidth="1"/>
    <col min="286" max="286" width="2" customWidth="1"/>
    <col min="287" max="287" width="10.140625" customWidth="1"/>
    <col min="288" max="288" width="13.7109375" customWidth="1"/>
    <col min="289" max="289" width="16.5703125" customWidth="1"/>
    <col min="290" max="290" width="16" customWidth="1"/>
    <col min="291" max="500" width="9.42578125" customWidth="1"/>
    <col min="501" max="501" width="7.140625" customWidth="1"/>
    <col min="502" max="502" width="35.28515625" customWidth="1"/>
    <col min="503" max="503" width="6.7109375" customWidth="1"/>
    <col min="504" max="504" width="5.7109375" customWidth="1"/>
    <col min="505" max="505" width="5.85546875" customWidth="1"/>
    <col min="506" max="506" width="7.85546875" customWidth="1"/>
    <col min="513" max="513" width="7.140625" customWidth="1"/>
    <col min="514" max="514" width="39.42578125" customWidth="1"/>
    <col min="515" max="515" width="6.7109375" customWidth="1"/>
    <col min="516" max="516" width="5.7109375" customWidth="1"/>
    <col min="517" max="517" width="5.85546875" customWidth="1"/>
    <col min="518" max="518" width="7.85546875" customWidth="1"/>
    <col min="519" max="519" width="14.28515625" customWidth="1"/>
    <col min="520" max="520" width="14" customWidth="1"/>
    <col min="521" max="535" width="0" hidden="1" customWidth="1"/>
    <col min="536" max="536" width="11.5703125" customWidth="1"/>
    <col min="537" max="537" width="11.85546875" customWidth="1"/>
    <col min="538" max="538" width="15.7109375" customWidth="1"/>
    <col min="539" max="539" width="1.5703125" customWidth="1"/>
    <col min="540" max="540" width="10.5703125" customWidth="1"/>
    <col min="541" max="541" width="20.7109375" customWidth="1"/>
    <col min="542" max="542" width="2" customWidth="1"/>
    <col min="543" max="543" width="10.140625" customWidth="1"/>
    <col min="544" max="544" width="13.7109375" customWidth="1"/>
    <col min="545" max="545" width="16.5703125" customWidth="1"/>
    <col min="546" max="546" width="16" customWidth="1"/>
    <col min="547" max="756" width="9.42578125" customWidth="1"/>
    <col min="757" max="757" width="7.140625" customWidth="1"/>
    <col min="758" max="758" width="35.28515625" customWidth="1"/>
    <col min="759" max="759" width="6.7109375" customWidth="1"/>
    <col min="760" max="760" width="5.7109375" customWidth="1"/>
    <col min="761" max="761" width="5.85546875" customWidth="1"/>
    <col min="762" max="762" width="7.85546875" customWidth="1"/>
    <col min="769" max="769" width="7.140625" customWidth="1"/>
    <col min="770" max="770" width="39.42578125" customWidth="1"/>
    <col min="771" max="771" width="6.7109375" customWidth="1"/>
    <col min="772" max="772" width="5.7109375" customWidth="1"/>
    <col min="773" max="773" width="5.85546875" customWidth="1"/>
    <col min="774" max="774" width="7.85546875" customWidth="1"/>
    <col min="775" max="775" width="14.28515625" customWidth="1"/>
    <col min="776" max="776" width="14" customWidth="1"/>
    <col min="777" max="791" width="0" hidden="1" customWidth="1"/>
    <col min="792" max="792" width="11.5703125" customWidth="1"/>
    <col min="793" max="793" width="11.85546875" customWidth="1"/>
    <col min="794" max="794" width="15.7109375" customWidth="1"/>
    <col min="795" max="795" width="1.5703125" customWidth="1"/>
    <col min="796" max="796" width="10.5703125" customWidth="1"/>
    <col min="797" max="797" width="20.7109375" customWidth="1"/>
    <col min="798" max="798" width="2" customWidth="1"/>
    <col min="799" max="799" width="10.140625" customWidth="1"/>
    <col min="800" max="800" width="13.7109375" customWidth="1"/>
    <col min="801" max="801" width="16.5703125" customWidth="1"/>
    <col min="802" max="802" width="16" customWidth="1"/>
    <col min="803" max="1012" width="9.42578125" customWidth="1"/>
    <col min="1013" max="1013" width="7.140625" customWidth="1"/>
    <col min="1014" max="1014" width="35.28515625" customWidth="1"/>
    <col min="1015" max="1015" width="6.7109375" customWidth="1"/>
    <col min="1016" max="1016" width="5.7109375" customWidth="1"/>
    <col min="1017" max="1017" width="5.85546875" customWidth="1"/>
    <col min="1018" max="1018" width="7.85546875" customWidth="1"/>
    <col min="1025" max="1025" width="7.140625" customWidth="1"/>
    <col min="1026" max="1026" width="39.42578125" customWidth="1"/>
    <col min="1027" max="1027" width="6.7109375" customWidth="1"/>
    <col min="1028" max="1028" width="5.7109375" customWidth="1"/>
    <col min="1029" max="1029" width="5.85546875" customWidth="1"/>
    <col min="1030" max="1030" width="7.85546875" customWidth="1"/>
    <col min="1031" max="1031" width="14.28515625" customWidth="1"/>
    <col min="1032" max="1032" width="14" customWidth="1"/>
    <col min="1033" max="1047" width="0" hidden="1" customWidth="1"/>
    <col min="1048" max="1048" width="11.5703125" customWidth="1"/>
    <col min="1049" max="1049" width="11.85546875" customWidth="1"/>
    <col min="1050" max="1050" width="15.7109375" customWidth="1"/>
    <col min="1051" max="1051" width="1.5703125" customWidth="1"/>
    <col min="1052" max="1052" width="10.5703125" customWidth="1"/>
    <col min="1053" max="1053" width="20.7109375" customWidth="1"/>
    <col min="1054" max="1054" width="2" customWidth="1"/>
    <col min="1055" max="1055" width="10.140625" customWidth="1"/>
    <col min="1056" max="1056" width="13.7109375" customWidth="1"/>
    <col min="1057" max="1057" width="16.5703125" customWidth="1"/>
    <col min="1058" max="1058" width="16" customWidth="1"/>
    <col min="1059" max="1268" width="9.42578125" customWidth="1"/>
    <col min="1269" max="1269" width="7.140625" customWidth="1"/>
    <col min="1270" max="1270" width="35.28515625" customWidth="1"/>
    <col min="1271" max="1271" width="6.7109375" customWidth="1"/>
    <col min="1272" max="1272" width="5.7109375" customWidth="1"/>
    <col min="1273" max="1273" width="5.85546875" customWidth="1"/>
    <col min="1274" max="1274" width="7.85546875" customWidth="1"/>
    <col min="1281" max="1281" width="7.140625" customWidth="1"/>
    <col min="1282" max="1282" width="39.42578125" customWidth="1"/>
    <col min="1283" max="1283" width="6.7109375" customWidth="1"/>
    <col min="1284" max="1284" width="5.7109375" customWidth="1"/>
    <col min="1285" max="1285" width="5.85546875" customWidth="1"/>
    <col min="1286" max="1286" width="7.85546875" customWidth="1"/>
    <col min="1287" max="1287" width="14.28515625" customWidth="1"/>
    <col min="1288" max="1288" width="14" customWidth="1"/>
    <col min="1289" max="1303" width="0" hidden="1" customWidth="1"/>
    <col min="1304" max="1304" width="11.5703125" customWidth="1"/>
    <col min="1305" max="1305" width="11.85546875" customWidth="1"/>
    <col min="1306" max="1306" width="15.7109375" customWidth="1"/>
    <col min="1307" max="1307" width="1.5703125" customWidth="1"/>
    <col min="1308" max="1308" width="10.5703125" customWidth="1"/>
    <col min="1309" max="1309" width="20.7109375" customWidth="1"/>
    <col min="1310" max="1310" width="2" customWidth="1"/>
    <col min="1311" max="1311" width="10.140625" customWidth="1"/>
    <col min="1312" max="1312" width="13.7109375" customWidth="1"/>
    <col min="1313" max="1313" width="16.5703125" customWidth="1"/>
    <col min="1314" max="1314" width="16" customWidth="1"/>
    <col min="1315" max="1524" width="9.42578125" customWidth="1"/>
    <col min="1525" max="1525" width="7.140625" customWidth="1"/>
    <col min="1526" max="1526" width="35.28515625" customWidth="1"/>
    <col min="1527" max="1527" width="6.7109375" customWidth="1"/>
    <col min="1528" max="1528" width="5.7109375" customWidth="1"/>
    <col min="1529" max="1529" width="5.85546875" customWidth="1"/>
    <col min="1530" max="1530" width="7.85546875" customWidth="1"/>
    <col min="1537" max="1537" width="7.140625" customWidth="1"/>
    <col min="1538" max="1538" width="39.42578125" customWidth="1"/>
    <col min="1539" max="1539" width="6.7109375" customWidth="1"/>
    <col min="1540" max="1540" width="5.7109375" customWidth="1"/>
    <col min="1541" max="1541" width="5.85546875" customWidth="1"/>
    <col min="1542" max="1542" width="7.85546875" customWidth="1"/>
    <col min="1543" max="1543" width="14.28515625" customWidth="1"/>
    <col min="1544" max="1544" width="14" customWidth="1"/>
    <col min="1545" max="1559" width="0" hidden="1" customWidth="1"/>
    <col min="1560" max="1560" width="11.5703125" customWidth="1"/>
    <col min="1561" max="1561" width="11.85546875" customWidth="1"/>
    <col min="1562" max="1562" width="15.7109375" customWidth="1"/>
    <col min="1563" max="1563" width="1.5703125" customWidth="1"/>
    <col min="1564" max="1564" width="10.5703125" customWidth="1"/>
    <col min="1565" max="1565" width="20.7109375" customWidth="1"/>
    <col min="1566" max="1566" width="2" customWidth="1"/>
    <col min="1567" max="1567" width="10.140625" customWidth="1"/>
    <col min="1568" max="1568" width="13.7109375" customWidth="1"/>
    <col min="1569" max="1569" width="16.5703125" customWidth="1"/>
    <col min="1570" max="1570" width="16" customWidth="1"/>
    <col min="1571" max="1780" width="9.42578125" customWidth="1"/>
    <col min="1781" max="1781" width="7.140625" customWidth="1"/>
    <col min="1782" max="1782" width="35.28515625" customWidth="1"/>
    <col min="1783" max="1783" width="6.7109375" customWidth="1"/>
    <col min="1784" max="1784" width="5.7109375" customWidth="1"/>
    <col min="1785" max="1785" width="5.85546875" customWidth="1"/>
    <col min="1786" max="1786" width="7.85546875" customWidth="1"/>
    <col min="1793" max="1793" width="7.140625" customWidth="1"/>
    <col min="1794" max="1794" width="39.42578125" customWidth="1"/>
    <col min="1795" max="1795" width="6.7109375" customWidth="1"/>
    <col min="1796" max="1796" width="5.7109375" customWidth="1"/>
    <col min="1797" max="1797" width="5.85546875" customWidth="1"/>
    <col min="1798" max="1798" width="7.85546875" customWidth="1"/>
    <col min="1799" max="1799" width="14.28515625" customWidth="1"/>
    <col min="1800" max="1800" width="14" customWidth="1"/>
    <col min="1801" max="1815" width="0" hidden="1" customWidth="1"/>
    <col min="1816" max="1816" width="11.5703125" customWidth="1"/>
    <col min="1817" max="1817" width="11.85546875" customWidth="1"/>
    <col min="1818" max="1818" width="15.7109375" customWidth="1"/>
    <col min="1819" max="1819" width="1.5703125" customWidth="1"/>
    <col min="1820" max="1820" width="10.5703125" customWidth="1"/>
    <col min="1821" max="1821" width="20.7109375" customWidth="1"/>
    <col min="1822" max="1822" width="2" customWidth="1"/>
    <col min="1823" max="1823" width="10.140625" customWidth="1"/>
    <col min="1824" max="1824" width="13.7109375" customWidth="1"/>
    <col min="1825" max="1825" width="16.5703125" customWidth="1"/>
    <col min="1826" max="1826" width="16" customWidth="1"/>
    <col min="1827" max="2036" width="9.42578125" customWidth="1"/>
    <col min="2037" max="2037" width="7.140625" customWidth="1"/>
    <col min="2038" max="2038" width="35.28515625" customWidth="1"/>
    <col min="2039" max="2039" width="6.7109375" customWidth="1"/>
    <col min="2040" max="2040" width="5.7109375" customWidth="1"/>
    <col min="2041" max="2041" width="5.85546875" customWidth="1"/>
    <col min="2042" max="2042" width="7.85546875" customWidth="1"/>
    <col min="2049" max="2049" width="7.140625" customWidth="1"/>
    <col min="2050" max="2050" width="39.42578125" customWidth="1"/>
    <col min="2051" max="2051" width="6.7109375" customWidth="1"/>
    <col min="2052" max="2052" width="5.7109375" customWidth="1"/>
    <col min="2053" max="2053" width="5.85546875" customWidth="1"/>
    <col min="2054" max="2054" width="7.85546875" customWidth="1"/>
    <col min="2055" max="2055" width="14.28515625" customWidth="1"/>
    <col min="2056" max="2056" width="14" customWidth="1"/>
    <col min="2057" max="2071" width="0" hidden="1" customWidth="1"/>
    <col min="2072" max="2072" width="11.5703125" customWidth="1"/>
    <col min="2073" max="2073" width="11.85546875" customWidth="1"/>
    <col min="2074" max="2074" width="15.7109375" customWidth="1"/>
    <col min="2075" max="2075" width="1.5703125" customWidth="1"/>
    <col min="2076" max="2076" width="10.5703125" customWidth="1"/>
    <col min="2077" max="2077" width="20.7109375" customWidth="1"/>
    <col min="2078" max="2078" width="2" customWidth="1"/>
    <col min="2079" max="2079" width="10.140625" customWidth="1"/>
    <col min="2080" max="2080" width="13.7109375" customWidth="1"/>
    <col min="2081" max="2081" width="16.5703125" customWidth="1"/>
    <col min="2082" max="2082" width="16" customWidth="1"/>
    <col min="2083" max="2292" width="9.42578125" customWidth="1"/>
    <col min="2293" max="2293" width="7.140625" customWidth="1"/>
    <col min="2294" max="2294" width="35.28515625" customWidth="1"/>
    <col min="2295" max="2295" width="6.7109375" customWidth="1"/>
    <col min="2296" max="2296" width="5.7109375" customWidth="1"/>
    <col min="2297" max="2297" width="5.85546875" customWidth="1"/>
    <col min="2298" max="2298" width="7.85546875" customWidth="1"/>
    <col min="2305" max="2305" width="7.140625" customWidth="1"/>
    <col min="2306" max="2306" width="39.42578125" customWidth="1"/>
    <col min="2307" max="2307" width="6.7109375" customWidth="1"/>
    <col min="2308" max="2308" width="5.7109375" customWidth="1"/>
    <col min="2309" max="2309" width="5.85546875" customWidth="1"/>
    <col min="2310" max="2310" width="7.85546875" customWidth="1"/>
    <col min="2311" max="2311" width="14.28515625" customWidth="1"/>
    <col min="2312" max="2312" width="14" customWidth="1"/>
    <col min="2313" max="2327" width="0" hidden="1" customWidth="1"/>
    <col min="2328" max="2328" width="11.5703125" customWidth="1"/>
    <col min="2329" max="2329" width="11.85546875" customWidth="1"/>
    <col min="2330" max="2330" width="15.7109375" customWidth="1"/>
    <col min="2331" max="2331" width="1.5703125" customWidth="1"/>
    <col min="2332" max="2332" width="10.5703125" customWidth="1"/>
    <col min="2333" max="2333" width="20.7109375" customWidth="1"/>
    <col min="2334" max="2334" width="2" customWidth="1"/>
    <col min="2335" max="2335" width="10.140625" customWidth="1"/>
    <col min="2336" max="2336" width="13.7109375" customWidth="1"/>
    <col min="2337" max="2337" width="16.5703125" customWidth="1"/>
    <col min="2338" max="2338" width="16" customWidth="1"/>
    <col min="2339" max="2548" width="9.42578125" customWidth="1"/>
    <col min="2549" max="2549" width="7.140625" customWidth="1"/>
    <col min="2550" max="2550" width="35.28515625" customWidth="1"/>
    <col min="2551" max="2551" width="6.7109375" customWidth="1"/>
    <col min="2552" max="2552" width="5.7109375" customWidth="1"/>
    <col min="2553" max="2553" width="5.85546875" customWidth="1"/>
    <col min="2554" max="2554" width="7.85546875" customWidth="1"/>
    <col min="2561" max="2561" width="7.140625" customWidth="1"/>
    <col min="2562" max="2562" width="39.42578125" customWidth="1"/>
    <col min="2563" max="2563" width="6.7109375" customWidth="1"/>
    <col min="2564" max="2564" width="5.7109375" customWidth="1"/>
    <col min="2565" max="2565" width="5.85546875" customWidth="1"/>
    <col min="2566" max="2566" width="7.85546875" customWidth="1"/>
    <col min="2567" max="2567" width="14.28515625" customWidth="1"/>
    <col min="2568" max="2568" width="14" customWidth="1"/>
    <col min="2569" max="2583" width="0" hidden="1" customWidth="1"/>
    <col min="2584" max="2584" width="11.5703125" customWidth="1"/>
    <col min="2585" max="2585" width="11.85546875" customWidth="1"/>
    <col min="2586" max="2586" width="15.7109375" customWidth="1"/>
    <col min="2587" max="2587" width="1.5703125" customWidth="1"/>
    <col min="2588" max="2588" width="10.5703125" customWidth="1"/>
    <col min="2589" max="2589" width="20.7109375" customWidth="1"/>
    <col min="2590" max="2590" width="2" customWidth="1"/>
    <col min="2591" max="2591" width="10.140625" customWidth="1"/>
    <col min="2592" max="2592" width="13.7109375" customWidth="1"/>
    <col min="2593" max="2593" width="16.5703125" customWidth="1"/>
    <col min="2594" max="2594" width="16" customWidth="1"/>
    <col min="2595" max="2804" width="9.42578125" customWidth="1"/>
    <col min="2805" max="2805" width="7.140625" customWidth="1"/>
    <col min="2806" max="2806" width="35.28515625" customWidth="1"/>
    <col min="2807" max="2807" width="6.7109375" customWidth="1"/>
    <col min="2808" max="2808" width="5.7109375" customWidth="1"/>
    <col min="2809" max="2809" width="5.85546875" customWidth="1"/>
    <col min="2810" max="2810" width="7.85546875" customWidth="1"/>
    <col min="2817" max="2817" width="7.140625" customWidth="1"/>
    <col min="2818" max="2818" width="39.42578125" customWidth="1"/>
    <col min="2819" max="2819" width="6.7109375" customWidth="1"/>
    <col min="2820" max="2820" width="5.7109375" customWidth="1"/>
    <col min="2821" max="2821" width="5.85546875" customWidth="1"/>
    <col min="2822" max="2822" width="7.85546875" customWidth="1"/>
    <col min="2823" max="2823" width="14.28515625" customWidth="1"/>
    <col min="2824" max="2824" width="14" customWidth="1"/>
    <col min="2825" max="2839" width="0" hidden="1" customWidth="1"/>
    <col min="2840" max="2840" width="11.5703125" customWidth="1"/>
    <col min="2841" max="2841" width="11.85546875" customWidth="1"/>
    <col min="2842" max="2842" width="15.7109375" customWidth="1"/>
    <col min="2843" max="2843" width="1.5703125" customWidth="1"/>
    <col min="2844" max="2844" width="10.5703125" customWidth="1"/>
    <col min="2845" max="2845" width="20.7109375" customWidth="1"/>
    <col min="2846" max="2846" width="2" customWidth="1"/>
    <col min="2847" max="2847" width="10.140625" customWidth="1"/>
    <col min="2848" max="2848" width="13.7109375" customWidth="1"/>
    <col min="2849" max="2849" width="16.5703125" customWidth="1"/>
    <col min="2850" max="2850" width="16" customWidth="1"/>
    <col min="2851" max="3060" width="9.42578125" customWidth="1"/>
    <col min="3061" max="3061" width="7.140625" customWidth="1"/>
    <col min="3062" max="3062" width="35.28515625" customWidth="1"/>
    <col min="3063" max="3063" width="6.7109375" customWidth="1"/>
    <col min="3064" max="3064" width="5.7109375" customWidth="1"/>
    <col min="3065" max="3065" width="5.85546875" customWidth="1"/>
    <col min="3066" max="3066" width="7.85546875" customWidth="1"/>
    <col min="3073" max="3073" width="7.140625" customWidth="1"/>
    <col min="3074" max="3074" width="39.42578125" customWidth="1"/>
    <col min="3075" max="3075" width="6.7109375" customWidth="1"/>
    <col min="3076" max="3076" width="5.7109375" customWidth="1"/>
    <col min="3077" max="3077" width="5.85546875" customWidth="1"/>
    <col min="3078" max="3078" width="7.85546875" customWidth="1"/>
    <col min="3079" max="3079" width="14.28515625" customWidth="1"/>
    <col min="3080" max="3080" width="14" customWidth="1"/>
    <col min="3081" max="3095" width="0" hidden="1" customWidth="1"/>
    <col min="3096" max="3096" width="11.5703125" customWidth="1"/>
    <col min="3097" max="3097" width="11.85546875" customWidth="1"/>
    <col min="3098" max="3098" width="15.7109375" customWidth="1"/>
    <col min="3099" max="3099" width="1.5703125" customWidth="1"/>
    <col min="3100" max="3100" width="10.5703125" customWidth="1"/>
    <col min="3101" max="3101" width="20.7109375" customWidth="1"/>
    <col min="3102" max="3102" width="2" customWidth="1"/>
    <col min="3103" max="3103" width="10.140625" customWidth="1"/>
    <col min="3104" max="3104" width="13.7109375" customWidth="1"/>
    <col min="3105" max="3105" width="16.5703125" customWidth="1"/>
    <col min="3106" max="3106" width="16" customWidth="1"/>
    <col min="3107" max="3316" width="9.42578125" customWidth="1"/>
    <col min="3317" max="3317" width="7.140625" customWidth="1"/>
    <col min="3318" max="3318" width="35.28515625" customWidth="1"/>
    <col min="3319" max="3319" width="6.7109375" customWidth="1"/>
    <col min="3320" max="3320" width="5.7109375" customWidth="1"/>
    <col min="3321" max="3321" width="5.85546875" customWidth="1"/>
    <col min="3322" max="3322" width="7.85546875" customWidth="1"/>
    <col min="3329" max="3329" width="7.140625" customWidth="1"/>
    <col min="3330" max="3330" width="39.42578125" customWidth="1"/>
    <col min="3331" max="3331" width="6.7109375" customWidth="1"/>
    <col min="3332" max="3332" width="5.7109375" customWidth="1"/>
    <col min="3333" max="3333" width="5.85546875" customWidth="1"/>
    <col min="3334" max="3334" width="7.85546875" customWidth="1"/>
    <col min="3335" max="3335" width="14.28515625" customWidth="1"/>
    <col min="3336" max="3336" width="14" customWidth="1"/>
    <col min="3337" max="3351" width="0" hidden="1" customWidth="1"/>
    <col min="3352" max="3352" width="11.5703125" customWidth="1"/>
    <col min="3353" max="3353" width="11.85546875" customWidth="1"/>
    <col min="3354" max="3354" width="15.7109375" customWidth="1"/>
    <col min="3355" max="3355" width="1.5703125" customWidth="1"/>
    <col min="3356" max="3356" width="10.5703125" customWidth="1"/>
    <col min="3357" max="3357" width="20.7109375" customWidth="1"/>
    <col min="3358" max="3358" width="2" customWidth="1"/>
    <col min="3359" max="3359" width="10.140625" customWidth="1"/>
    <col min="3360" max="3360" width="13.7109375" customWidth="1"/>
    <col min="3361" max="3361" width="16.5703125" customWidth="1"/>
    <col min="3362" max="3362" width="16" customWidth="1"/>
    <col min="3363" max="3572" width="9.42578125" customWidth="1"/>
    <col min="3573" max="3573" width="7.140625" customWidth="1"/>
    <col min="3574" max="3574" width="35.28515625" customWidth="1"/>
    <col min="3575" max="3575" width="6.7109375" customWidth="1"/>
    <col min="3576" max="3576" width="5.7109375" customWidth="1"/>
    <col min="3577" max="3577" width="5.85546875" customWidth="1"/>
    <col min="3578" max="3578" width="7.85546875" customWidth="1"/>
    <col min="3585" max="3585" width="7.140625" customWidth="1"/>
    <col min="3586" max="3586" width="39.42578125" customWidth="1"/>
    <col min="3587" max="3587" width="6.7109375" customWidth="1"/>
    <col min="3588" max="3588" width="5.7109375" customWidth="1"/>
    <col min="3589" max="3589" width="5.85546875" customWidth="1"/>
    <col min="3590" max="3590" width="7.85546875" customWidth="1"/>
    <col min="3591" max="3591" width="14.28515625" customWidth="1"/>
    <col min="3592" max="3592" width="14" customWidth="1"/>
    <col min="3593" max="3607" width="0" hidden="1" customWidth="1"/>
    <col min="3608" max="3608" width="11.5703125" customWidth="1"/>
    <col min="3609" max="3609" width="11.85546875" customWidth="1"/>
    <col min="3610" max="3610" width="15.7109375" customWidth="1"/>
    <col min="3611" max="3611" width="1.5703125" customWidth="1"/>
    <col min="3612" max="3612" width="10.5703125" customWidth="1"/>
    <col min="3613" max="3613" width="20.7109375" customWidth="1"/>
    <col min="3614" max="3614" width="2" customWidth="1"/>
    <col min="3615" max="3615" width="10.140625" customWidth="1"/>
    <col min="3616" max="3616" width="13.7109375" customWidth="1"/>
    <col min="3617" max="3617" width="16.5703125" customWidth="1"/>
    <col min="3618" max="3618" width="16" customWidth="1"/>
    <col min="3619" max="3828" width="9.42578125" customWidth="1"/>
    <col min="3829" max="3829" width="7.140625" customWidth="1"/>
    <col min="3830" max="3830" width="35.28515625" customWidth="1"/>
    <col min="3831" max="3831" width="6.7109375" customWidth="1"/>
    <col min="3832" max="3832" width="5.7109375" customWidth="1"/>
    <col min="3833" max="3833" width="5.85546875" customWidth="1"/>
    <col min="3834" max="3834" width="7.85546875" customWidth="1"/>
    <col min="3841" max="3841" width="7.140625" customWidth="1"/>
    <col min="3842" max="3842" width="39.42578125" customWidth="1"/>
    <col min="3843" max="3843" width="6.7109375" customWidth="1"/>
    <col min="3844" max="3844" width="5.7109375" customWidth="1"/>
    <col min="3845" max="3845" width="5.85546875" customWidth="1"/>
    <col min="3846" max="3846" width="7.85546875" customWidth="1"/>
    <col min="3847" max="3847" width="14.28515625" customWidth="1"/>
    <col min="3848" max="3848" width="14" customWidth="1"/>
    <col min="3849" max="3863" width="0" hidden="1" customWidth="1"/>
    <col min="3864" max="3864" width="11.5703125" customWidth="1"/>
    <col min="3865" max="3865" width="11.85546875" customWidth="1"/>
    <col min="3866" max="3866" width="15.7109375" customWidth="1"/>
    <col min="3867" max="3867" width="1.5703125" customWidth="1"/>
    <col min="3868" max="3868" width="10.5703125" customWidth="1"/>
    <col min="3869" max="3869" width="20.7109375" customWidth="1"/>
    <col min="3870" max="3870" width="2" customWidth="1"/>
    <col min="3871" max="3871" width="10.140625" customWidth="1"/>
    <col min="3872" max="3872" width="13.7109375" customWidth="1"/>
    <col min="3873" max="3873" width="16.5703125" customWidth="1"/>
    <col min="3874" max="3874" width="16" customWidth="1"/>
    <col min="3875" max="4084" width="9.42578125" customWidth="1"/>
    <col min="4085" max="4085" width="7.140625" customWidth="1"/>
    <col min="4086" max="4086" width="35.28515625" customWidth="1"/>
    <col min="4087" max="4087" width="6.7109375" customWidth="1"/>
    <col min="4088" max="4088" width="5.7109375" customWidth="1"/>
    <col min="4089" max="4089" width="5.85546875" customWidth="1"/>
    <col min="4090" max="4090" width="7.85546875" customWidth="1"/>
    <col min="4097" max="4097" width="7.140625" customWidth="1"/>
    <col min="4098" max="4098" width="39.42578125" customWidth="1"/>
    <col min="4099" max="4099" width="6.7109375" customWidth="1"/>
    <col min="4100" max="4100" width="5.7109375" customWidth="1"/>
    <col min="4101" max="4101" width="5.85546875" customWidth="1"/>
    <col min="4102" max="4102" width="7.85546875" customWidth="1"/>
    <col min="4103" max="4103" width="14.28515625" customWidth="1"/>
    <col min="4104" max="4104" width="14" customWidth="1"/>
    <col min="4105" max="4119" width="0" hidden="1" customWidth="1"/>
    <col min="4120" max="4120" width="11.5703125" customWidth="1"/>
    <col min="4121" max="4121" width="11.85546875" customWidth="1"/>
    <col min="4122" max="4122" width="15.7109375" customWidth="1"/>
    <col min="4123" max="4123" width="1.5703125" customWidth="1"/>
    <col min="4124" max="4124" width="10.5703125" customWidth="1"/>
    <col min="4125" max="4125" width="20.7109375" customWidth="1"/>
    <col min="4126" max="4126" width="2" customWidth="1"/>
    <col min="4127" max="4127" width="10.140625" customWidth="1"/>
    <col min="4128" max="4128" width="13.7109375" customWidth="1"/>
    <col min="4129" max="4129" width="16.5703125" customWidth="1"/>
    <col min="4130" max="4130" width="16" customWidth="1"/>
    <col min="4131" max="4340" width="9.42578125" customWidth="1"/>
    <col min="4341" max="4341" width="7.140625" customWidth="1"/>
    <col min="4342" max="4342" width="35.28515625" customWidth="1"/>
    <col min="4343" max="4343" width="6.7109375" customWidth="1"/>
    <col min="4344" max="4344" width="5.7109375" customWidth="1"/>
    <col min="4345" max="4345" width="5.85546875" customWidth="1"/>
    <col min="4346" max="4346" width="7.85546875" customWidth="1"/>
    <col min="4353" max="4353" width="7.140625" customWidth="1"/>
    <col min="4354" max="4354" width="39.42578125" customWidth="1"/>
    <col min="4355" max="4355" width="6.7109375" customWidth="1"/>
    <col min="4356" max="4356" width="5.7109375" customWidth="1"/>
    <col min="4357" max="4357" width="5.85546875" customWidth="1"/>
    <col min="4358" max="4358" width="7.85546875" customWidth="1"/>
    <col min="4359" max="4359" width="14.28515625" customWidth="1"/>
    <col min="4360" max="4360" width="14" customWidth="1"/>
    <col min="4361" max="4375" width="0" hidden="1" customWidth="1"/>
    <col min="4376" max="4376" width="11.5703125" customWidth="1"/>
    <col min="4377" max="4377" width="11.85546875" customWidth="1"/>
    <col min="4378" max="4378" width="15.7109375" customWidth="1"/>
    <col min="4379" max="4379" width="1.5703125" customWidth="1"/>
    <col min="4380" max="4380" width="10.5703125" customWidth="1"/>
    <col min="4381" max="4381" width="20.7109375" customWidth="1"/>
    <col min="4382" max="4382" width="2" customWidth="1"/>
    <col min="4383" max="4383" width="10.140625" customWidth="1"/>
    <col min="4384" max="4384" width="13.7109375" customWidth="1"/>
    <col min="4385" max="4385" width="16.5703125" customWidth="1"/>
    <col min="4386" max="4386" width="16" customWidth="1"/>
    <col min="4387" max="4596" width="9.42578125" customWidth="1"/>
    <col min="4597" max="4597" width="7.140625" customWidth="1"/>
    <col min="4598" max="4598" width="35.28515625" customWidth="1"/>
    <col min="4599" max="4599" width="6.7109375" customWidth="1"/>
    <col min="4600" max="4600" width="5.7109375" customWidth="1"/>
    <col min="4601" max="4601" width="5.85546875" customWidth="1"/>
    <col min="4602" max="4602" width="7.85546875" customWidth="1"/>
    <col min="4609" max="4609" width="7.140625" customWidth="1"/>
    <col min="4610" max="4610" width="39.42578125" customWidth="1"/>
    <col min="4611" max="4611" width="6.7109375" customWidth="1"/>
    <col min="4612" max="4612" width="5.7109375" customWidth="1"/>
    <col min="4613" max="4613" width="5.85546875" customWidth="1"/>
    <col min="4614" max="4614" width="7.85546875" customWidth="1"/>
    <col min="4615" max="4615" width="14.28515625" customWidth="1"/>
    <col min="4616" max="4616" width="14" customWidth="1"/>
    <col min="4617" max="4631" width="0" hidden="1" customWidth="1"/>
    <col min="4632" max="4632" width="11.5703125" customWidth="1"/>
    <col min="4633" max="4633" width="11.85546875" customWidth="1"/>
    <col min="4634" max="4634" width="15.7109375" customWidth="1"/>
    <col min="4635" max="4635" width="1.5703125" customWidth="1"/>
    <col min="4636" max="4636" width="10.5703125" customWidth="1"/>
    <col min="4637" max="4637" width="20.7109375" customWidth="1"/>
    <col min="4638" max="4638" width="2" customWidth="1"/>
    <col min="4639" max="4639" width="10.140625" customWidth="1"/>
    <col min="4640" max="4640" width="13.7109375" customWidth="1"/>
    <col min="4641" max="4641" width="16.5703125" customWidth="1"/>
    <col min="4642" max="4642" width="16" customWidth="1"/>
    <col min="4643" max="4852" width="9.42578125" customWidth="1"/>
    <col min="4853" max="4853" width="7.140625" customWidth="1"/>
    <col min="4854" max="4854" width="35.28515625" customWidth="1"/>
    <col min="4855" max="4855" width="6.7109375" customWidth="1"/>
    <col min="4856" max="4856" width="5.7109375" customWidth="1"/>
    <col min="4857" max="4857" width="5.85546875" customWidth="1"/>
    <col min="4858" max="4858" width="7.85546875" customWidth="1"/>
    <col min="4865" max="4865" width="7.140625" customWidth="1"/>
    <col min="4866" max="4866" width="39.42578125" customWidth="1"/>
    <col min="4867" max="4867" width="6.7109375" customWidth="1"/>
    <col min="4868" max="4868" width="5.7109375" customWidth="1"/>
    <col min="4869" max="4869" width="5.85546875" customWidth="1"/>
    <col min="4870" max="4870" width="7.85546875" customWidth="1"/>
    <col min="4871" max="4871" width="14.28515625" customWidth="1"/>
    <col min="4872" max="4872" width="14" customWidth="1"/>
    <col min="4873" max="4887" width="0" hidden="1" customWidth="1"/>
    <col min="4888" max="4888" width="11.5703125" customWidth="1"/>
    <col min="4889" max="4889" width="11.85546875" customWidth="1"/>
    <col min="4890" max="4890" width="15.7109375" customWidth="1"/>
    <col min="4891" max="4891" width="1.5703125" customWidth="1"/>
    <col min="4892" max="4892" width="10.5703125" customWidth="1"/>
    <col min="4893" max="4893" width="20.7109375" customWidth="1"/>
    <col min="4894" max="4894" width="2" customWidth="1"/>
    <col min="4895" max="4895" width="10.140625" customWidth="1"/>
    <col min="4896" max="4896" width="13.7109375" customWidth="1"/>
    <col min="4897" max="4897" width="16.5703125" customWidth="1"/>
    <col min="4898" max="4898" width="16" customWidth="1"/>
    <col min="4899" max="5108" width="9.42578125" customWidth="1"/>
    <col min="5109" max="5109" width="7.140625" customWidth="1"/>
    <col min="5110" max="5110" width="35.28515625" customWidth="1"/>
    <col min="5111" max="5111" width="6.7109375" customWidth="1"/>
    <col min="5112" max="5112" width="5.7109375" customWidth="1"/>
    <col min="5113" max="5113" width="5.85546875" customWidth="1"/>
    <col min="5114" max="5114" width="7.85546875" customWidth="1"/>
    <col min="5121" max="5121" width="7.140625" customWidth="1"/>
    <col min="5122" max="5122" width="39.42578125" customWidth="1"/>
    <col min="5123" max="5123" width="6.7109375" customWidth="1"/>
    <col min="5124" max="5124" width="5.7109375" customWidth="1"/>
    <col min="5125" max="5125" width="5.85546875" customWidth="1"/>
    <col min="5126" max="5126" width="7.85546875" customWidth="1"/>
    <col min="5127" max="5127" width="14.28515625" customWidth="1"/>
    <col min="5128" max="5128" width="14" customWidth="1"/>
    <col min="5129" max="5143" width="0" hidden="1" customWidth="1"/>
    <col min="5144" max="5144" width="11.5703125" customWidth="1"/>
    <col min="5145" max="5145" width="11.85546875" customWidth="1"/>
    <col min="5146" max="5146" width="15.7109375" customWidth="1"/>
    <col min="5147" max="5147" width="1.5703125" customWidth="1"/>
    <col min="5148" max="5148" width="10.5703125" customWidth="1"/>
    <col min="5149" max="5149" width="20.7109375" customWidth="1"/>
    <col min="5150" max="5150" width="2" customWidth="1"/>
    <col min="5151" max="5151" width="10.140625" customWidth="1"/>
    <col min="5152" max="5152" width="13.7109375" customWidth="1"/>
    <col min="5153" max="5153" width="16.5703125" customWidth="1"/>
    <col min="5154" max="5154" width="16" customWidth="1"/>
    <col min="5155" max="5364" width="9.42578125" customWidth="1"/>
    <col min="5365" max="5365" width="7.140625" customWidth="1"/>
    <col min="5366" max="5366" width="35.28515625" customWidth="1"/>
    <col min="5367" max="5367" width="6.7109375" customWidth="1"/>
    <col min="5368" max="5368" width="5.7109375" customWidth="1"/>
    <col min="5369" max="5369" width="5.85546875" customWidth="1"/>
    <col min="5370" max="5370" width="7.85546875" customWidth="1"/>
    <col min="5377" max="5377" width="7.140625" customWidth="1"/>
    <col min="5378" max="5378" width="39.42578125" customWidth="1"/>
    <col min="5379" max="5379" width="6.7109375" customWidth="1"/>
    <col min="5380" max="5380" width="5.7109375" customWidth="1"/>
    <col min="5381" max="5381" width="5.85546875" customWidth="1"/>
    <col min="5382" max="5382" width="7.85546875" customWidth="1"/>
    <col min="5383" max="5383" width="14.28515625" customWidth="1"/>
    <col min="5384" max="5384" width="14" customWidth="1"/>
    <col min="5385" max="5399" width="0" hidden="1" customWidth="1"/>
    <col min="5400" max="5400" width="11.5703125" customWidth="1"/>
    <col min="5401" max="5401" width="11.85546875" customWidth="1"/>
    <col min="5402" max="5402" width="15.7109375" customWidth="1"/>
    <col min="5403" max="5403" width="1.5703125" customWidth="1"/>
    <col min="5404" max="5404" width="10.5703125" customWidth="1"/>
    <col min="5405" max="5405" width="20.7109375" customWidth="1"/>
    <col min="5406" max="5406" width="2" customWidth="1"/>
    <col min="5407" max="5407" width="10.140625" customWidth="1"/>
    <col min="5408" max="5408" width="13.7109375" customWidth="1"/>
    <col min="5409" max="5409" width="16.5703125" customWidth="1"/>
    <col min="5410" max="5410" width="16" customWidth="1"/>
    <col min="5411" max="5620" width="9.42578125" customWidth="1"/>
    <col min="5621" max="5621" width="7.140625" customWidth="1"/>
    <col min="5622" max="5622" width="35.28515625" customWidth="1"/>
    <col min="5623" max="5623" width="6.7109375" customWidth="1"/>
    <col min="5624" max="5624" width="5.7109375" customWidth="1"/>
    <col min="5625" max="5625" width="5.85546875" customWidth="1"/>
    <col min="5626" max="5626" width="7.85546875" customWidth="1"/>
    <col min="5633" max="5633" width="7.140625" customWidth="1"/>
    <col min="5634" max="5634" width="39.42578125" customWidth="1"/>
    <col min="5635" max="5635" width="6.7109375" customWidth="1"/>
    <col min="5636" max="5636" width="5.7109375" customWidth="1"/>
    <col min="5637" max="5637" width="5.85546875" customWidth="1"/>
    <col min="5638" max="5638" width="7.85546875" customWidth="1"/>
    <col min="5639" max="5639" width="14.28515625" customWidth="1"/>
    <col min="5640" max="5640" width="14" customWidth="1"/>
    <col min="5641" max="5655" width="0" hidden="1" customWidth="1"/>
    <col min="5656" max="5656" width="11.5703125" customWidth="1"/>
    <col min="5657" max="5657" width="11.85546875" customWidth="1"/>
    <col min="5658" max="5658" width="15.7109375" customWidth="1"/>
    <col min="5659" max="5659" width="1.5703125" customWidth="1"/>
    <col min="5660" max="5660" width="10.5703125" customWidth="1"/>
    <col min="5661" max="5661" width="20.7109375" customWidth="1"/>
    <col min="5662" max="5662" width="2" customWidth="1"/>
    <col min="5663" max="5663" width="10.140625" customWidth="1"/>
    <col min="5664" max="5664" width="13.7109375" customWidth="1"/>
    <col min="5665" max="5665" width="16.5703125" customWidth="1"/>
    <col min="5666" max="5666" width="16" customWidth="1"/>
    <col min="5667" max="5876" width="9.42578125" customWidth="1"/>
    <col min="5877" max="5877" width="7.140625" customWidth="1"/>
    <col min="5878" max="5878" width="35.28515625" customWidth="1"/>
    <col min="5879" max="5879" width="6.7109375" customWidth="1"/>
    <col min="5880" max="5880" width="5.7109375" customWidth="1"/>
    <col min="5881" max="5881" width="5.85546875" customWidth="1"/>
    <col min="5882" max="5882" width="7.85546875" customWidth="1"/>
    <col min="5889" max="5889" width="7.140625" customWidth="1"/>
    <col min="5890" max="5890" width="39.42578125" customWidth="1"/>
    <col min="5891" max="5891" width="6.7109375" customWidth="1"/>
    <col min="5892" max="5892" width="5.7109375" customWidth="1"/>
    <col min="5893" max="5893" width="5.85546875" customWidth="1"/>
    <col min="5894" max="5894" width="7.85546875" customWidth="1"/>
    <col min="5895" max="5895" width="14.28515625" customWidth="1"/>
    <col min="5896" max="5896" width="14" customWidth="1"/>
    <col min="5897" max="5911" width="0" hidden="1" customWidth="1"/>
    <col min="5912" max="5912" width="11.5703125" customWidth="1"/>
    <col min="5913" max="5913" width="11.85546875" customWidth="1"/>
    <col min="5914" max="5914" width="15.7109375" customWidth="1"/>
    <col min="5915" max="5915" width="1.5703125" customWidth="1"/>
    <col min="5916" max="5916" width="10.5703125" customWidth="1"/>
    <col min="5917" max="5917" width="20.7109375" customWidth="1"/>
    <col min="5918" max="5918" width="2" customWidth="1"/>
    <col min="5919" max="5919" width="10.140625" customWidth="1"/>
    <col min="5920" max="5920" width="13.7109375" customWidth="1"/>
    <col min="5921" max="5921" width="16.5703125" customWidth="1"/>
    <col min="5922" max="5922" width="16" customWidth="1"/>
    <col min="5923" max="6132" width="9.42578125" customWidth="1"/>
    <col min="6133" max="6133" width="7.140625" customWidth="1"/>
    <col min="6134" max="6134" width="35.28515625" customWidth="1"/>
    <col min="6135" max="6135" width="6.7109375" customWidth="1"/>
    <col min="6136" max="6136" width="5.7109375" customWidth="1"/>
    <col min="6137" max="6137" width="5.85546875" customWidth="1"/>
    <col min="6138" max="6138" width="7.85546875" customWidth="1"/>
    <col min="6145" max="6145" width="7.140625" customWidth="1"/>
    <col min="6146" max="6146" width="39.42578125" customWidth="1"/>
    <col min="6147" max="6147" width="6.7109375" customWidth="1"/>
    <col min="6148" max="6148" width="5.7109375" customWidth="1"/>
    <col min="6149" max="6149" width="5.85546875" customWidth="1"/>
    <col min="6150" max="6150" width="7.85546875" customWidth="1"/>
    <col min="6151" max="6151" width="14.28515625" customWidth="1"/>
    <col min="6152" max="6152" width="14" customWidth="1"/>
    <col min="6153" max="6167" width="0" hidden="1" customWidth="1"/>
    <col min="6168" max="6168" width="11.5703125" customWidth="1"/>
    <col min="6169" max="6169" width="11.85546875" customWidth="1"/>
    <col min="6170" max="6170" width="15.7109375" customWidth="1"/>
    <col min="6171" max="6171" width="1.5703125" customWidth="1"/>
    <col min="6172" max="6172" width="10.5703125" customWidth="1"/>
    <col min="6173" max="6173" width="20.7109375" customWidth="1"/>
    <col min="6174" max="6174" width="2" customWidth="1"/>
    <col min="6175" max="6175" width="10.140625" customWidth="1"/>
    <col min="6176" max="6176" width="13.7109375" customWidth="1"/>
    <col min="6177" max="6177" width="16.5703125" customWidth="1"/>
    <col min="6178" max="6178" width="16" customWidth="1"/>
    <col min="6179" max="6388" width="9.42578125" customWidth="1"/>
    <col min="6389" max="6389" width="7.140625" customWidth="1"/>
    <col min="6390" max="6390" width="35.28515625" customWidth="1"/>
    <col min="6391" max="6391" width="6.7109375" customWidth="1"/>
    <col min="6392" max="6392" width="5.7109375" customWidth="1"/>
    <col min="6393" max="6393" width="5.85546875" customWidth="1"/>
    <col min="6394" max="6394" width="7.85546875" customWidth="1"/>
    <col min="6401" max="6401" width="7.140625" customWidth="1"/>
    <col min="6402" max="6402" width="39.42578125" customWidth="1"/>
    <col min="6403" max="6403" width="6.7109375" customWidth="1"/>
    <col min="6404" max="6404" width="5.7109375" customWidth="1"/>
    <col min="6405" max="6405" width="5.85546875" customWidth="1"/>
    <col min="6406" max="6406" width="7.85546875" customWidth="1"/>
    <col min="6407" max="6407" width="14.28515625" customWidth="1"/>
    <col min="6408" max="6408" width="14" customWidth="1"/>
    <col min="6409" max="6423" width="0" hidden="1" customWidth="1"/>
    <col min="6424" max="6424" width="11.5703125" customWidth="1"/>
    <col min="6425" max="6425" width="11.85546875" customWidth="1"/>
    <col min="6426" max="6426" width="15.7109375" customWidth="1"/>
    <col min="6427" max="6427" width="1.5703125" customWidth="1"/>
    <col min="6428" max="6428" width="10.5703125" customWidth="1"/>
    <col min="6429" max="6429" width="20.7109375" customWidth="1"/>
    <col min="6430" max="6430" width="2" customWidth="1"/>
    <col min="6431" max="6431" width="10.140625" customWidth="1"/>
    <col min="6432" max="6432" width="13.7109375" customWidth="1"/>
    <col min="6433" max="6433" width="16.5703125" customWidth="1"/>
    <col min="6434" max="6434" width="16" customWidth="1"/>
    <col min="6435" max="6644" width="9.42578125" customWidth="1"/>
    <col min="6645" max="6645" width="7.140625" customWidth="1"/>
    <col min="6646" max="6646" width="35.28515625" customWidth="1"/>
    <col min="6647" max="6647" width="6.7109375" customWidth="1"/>
    <col min="6648" max="6648" width="5.7109375" customWidth="1"/>
    <col min="6649" max="6649" width="5.85546875" customWidth="1"/>
    <col min="6650" max="6650" width="7.85546875" customWidth="1"/>
    <col min="6657" max="6657" width="7.140625" customWidth="1"/>
    <col min="6658" max="6658" width="39.42578125" customWidth="1"/>
    <col min="6659" max="6659" width="6.7109375" customWidth="1"/>
    <col min="6660" max="6660" width="5.7109375" customWidth="1"/>
    <col min="6661" max="6661" width="5.85546875" customWidth="1"/>
    <col min="6662" max="6662" width="7.85546875" customWidth="1"/>
    <col min="6663" max="6663" width="14.28515625" customWidth="1"/>
    <col min="6664" max="6664" width="14" customWidth="1"/>
    <col min="6665" max="6679" width="0" hidden="1" customWidth="1"/>
    <col min="6680" max="6680" width="11.5703125" customWidth="1"/>
    <col min="6681" max="6681" width="11.85546875" customWidth="1"/>
    <col min="6682" max="6682" width="15.7109375" customWidth="1"/>
    <col min="6683" max="6683" width="1.5703125" customWidth="1"/>
    <col min="6684" max="6684" width="10.5703125" customWidth="1"/>
    <col min="6685" max="6685" width="20.7109375" customWidth="1"/>
    <col min="6686" max="6686" width="2" customWidth="1"/>
    <col min="6687" max="6687" width="10.140625" customWidth="1"/>
    <col min="6688" max="6688" width="13.7109375" customWidth="1"/>
    <col min="6689" max="6689" width="16.5703125" customWidth="1"/>
    <col min="6690" max="6690" width="16" customWidth="1"/>
    <col min="6691" max="6900" width="9.42578125" customWidth="1"/>
    <col min="6901" max="6901" width="7.140625" customWidth="1"/>
    <col min="6902" max="6902" width="35.28515625" customWidth="1"/>
    <col min="6903" max="6903" width="6.7109375" customWidth="1"/>
    <col min="6904" max="6904" width="5.7109375" customWidth="1"/>
    <col min="6905" max="6905" width="5.85546875" customWidth="1"/>
    <col min="6906" max="6906" width="7.85546875" customWidth="1"/>
    <col min="6913" max="6913" width="7.140625" customWidth="1"/>
    <col min="6914" max="6914" width="39.42578125" customWidth="1"/>
    <col min="6915" max="6915" width="6.7109375" customWidth="1"/>
    <col min="6916" max="6916" width="5.7109375" customWidth="1"/>
    <col min="6917" max="6917" width="5.85546875" customWidth="1"/>
    <col min="6918" max="6918" width="7.85546875" customWidth="1"/>
    <col min="6919" max="6919" width="14.28515625" customWidth="1"/>
    <col min="6920" max="6920" width="14" customWidth="1"/>
    <col min="6921" max="6935" width="0" hidden="1" customWidth="1"/>
    <col min="6936" max="6936" width="11.5703125" customWidth="1"/>
    <col min="6937" max="6937" width="11.85546875" customWidth="1"/>
    <col min="6938" max="6938" width="15.7109375" customWidth="1"/>
    <col min="6939" max="6939" width="1.5703125" customWidth="1"/>
    <col min="6940" max="6940" width="10.5703125" customWidth="1"/>
    <col min="6941" max="6941" width="20.7109375" customWidth="1"/>
    <col min="6942" max="6942" width="2" customWidth="1"/>
    <col min="6943" max="6943" width="10.140625" customWidth="1"/>
    <col min="6944" max="6944" width="13.7109375" customWidth="1"/>
    <col min="6945" max="6945" width="16.5703125" customWidth="1"/>
    <col min="6946" max="6946" width="16" customWidth="1"/>
    <col min="6947" max="7156" width="9.42578125" customWidth="1"/>
    <col min="7157" max="7157" width="7.140625" customWidth="1"/>
    <col min="7158" max="7158" width="35.28515625" customWidth="1"/>
    <col min="7159" max="7159" width="6.7109375" customWidth="1"/>
    <col min="7160" max="7160" width="5.7109375" customWidth="1"/>
    <col min="7161" max="7161" width="5.85546875" customWidth="1"/>
    <col min="7162" max="7162" width="7.85546875" customWidth="1"/>
    <col min="7169" max="7169" width="7.140625" customWidth="1"/>
    <col min="7170" max="7170" width="39.42578125" customWidth="1"/>
    <col min="7171" max="7171" width="6.7109375" customWidth="1"/>
    <col min="7172" max="7172" width="5.7109375" customWidth="1"/>
    <col min="7173" max="7173" width="5.85546875" customWidth="1"/>
    <col min="7174" max="7174" width="7.85546875" customWidth="1"/>
    <col min="7175" max="7175" width="14.28515625" customWidth="1"/>
    <col min="7176" max="7176" width="14" customWidth="1"/>
    <col min="7177" max="7191" width="0" hidden="1" customWidth="1"/>
    <col min="7192" max="7192" width="11.5703125" customWidth="1"/>
    <col min="7193" max="7193" width="11.85546875" customWidth="1"/>
    <col min="7194" max="7194" width="15.7109375" customWidth="1"/>
    <col min="7195" max="7195" width="1.5703125" customWidth="1"/>
    <col min="7196" max="7196" width="10.5703125" customWidth="1"/>
    <col min="7197" max="7197" width="20.7109375" customWidth="1"/>
    <col min="7198" max="7198" width="2" customWidth="1"/>
    <col min="7199" max="7199" width="10.140625" customWidth="1"/>
    <col min="7200" max="7200" width="13.7109375" customWidth="1"/>
    <col min="7201" max="7201" width="16.5703125" customWidth="1"/>
    <col min="7202" max="7202" width="16" customWidth="1"/>
    <col min="7203" max="7412" width="9.42578125" customWidth="1"/>
    <col min="7413" max="7413" width="7.140625" customWidth="1"/>
    <col min="7414" max="7414" width="35.28515625" customWidth="1"/>
    <col min="7415" max="7415" width="6.7109375" customWidth="1"/>
    <col min="7416" max="7416" width="5.7109375" customWidth="1"/>
    <col min="7417" max="7417" width="5.85546875" customWidth="1"/>
    <col min="7418" max="7418" width="7.85546875" customWidth="1"/>
    <col min="7425" max="7425" width="7.140625" customWidth="1"/>
    <col min="7426" max="7426" width="39.42578125" customWidth="1"/>
    <col min="7427" max="7427" width="6.7109375" customWidth="1"/>
    <col min="7428" max="7428" width="5.7109375" customWidth="1"/>
    <col min="7429" max="7429" width="5.85546875" customWidth="1"/>
    <col min="7430" max="7430" width="7.85546875" customWidth="1"/>
    <col min="7431" max="7431" width="14.28515625" customWidth="1"/>
    <col min="7432" max="7432" width="14" customWidth="1"/>
    <col min="7433" max="7447" width="0" hidden="1" customWidth="1"/>
    <col min="7448" max="7448" width="11.5703125" customWidth="1"/>
    <col min="7449" max="7449" width="11.85546875" customWidth="1"/>
    <col min="7450" max="7450" width="15.7109375" customWidth="1"/>
    <col min="7451" max="7451" width="1.5703125" customWidth="1"/>
    <col min="7452" max="7452" width="10.5703125" customWidth="1"/>
    <col min="7453" max="7453" width="20.7109375" customWidth="1"/>
    <col min="7454" max="7454" width="2" customWidth="1"/>
    <col min="7455" max="7455" width="10.140625" customWidth="1"/>
    <col min="7456" max="7456" width="13.7109375" customWidth="1"/>
    <col min="7457" max="7457" width="16.5703125" customWidth="1"/>
    <col min="7458" max="7458" width="16" customWidth="1"/>
    <col min="7459" max="7668" width="9.42578125" customWidth="1"/>
    <col min="7669" max="7669" width="7.140625" customWidth="1"/>
    <col min="7670" max="7670" width="35.28515625" customWidth="1"/>
    <col min="7671" max="7671" width="6.7109375" customWidth="1"/>
    <col min="7672" max="7672" width="5.7109375" customWidth="1"/>
    <col min="7673" max="7673" width="5.85546875" customWidth="1"/>
    <col min="7674" max="7674" width="7.85546875" customWidth="1"/>
    <col min="7681" max="7681" width="7.140625" customWidth="1"/>
    <col min="7682" max="7682" width="39.42578125" customWidth="1"/>
    <col min="7683" max="7683" width="6.7109375" customWidth="1"/>
    <col min="7684" max="7684" width="5.7109375" customWidth="1"/>
    <col min="7685" max="7685" width="5.85546875" customWidth="1"/>
    <col min="7686" max="7686" width="7.85546875" customWidth="1"/>
    <col min="7687" max="7687" width="14.28515625" customWidth="1"/>
    <col min="7688" max="7688" width="14" customWidth="1"/>
    <col min="7689" max="7703" width="0" hidden="1" customWidth="1"/>
    <col min="7704" max="7704" width="11.5703125" customWidth="1"/>
    <col min="7705" max="7705" width="11.85546875" customWidth="1"/>
    <col min="7706" max="7706" width="15.7109375" customWidth="1"/>
    <col min="7707" max="7707" width="1.5703125" customWidth="1"/>
    <col min="7708" max="7708" width="10.5703125" customWidth="1"/>
    <col min="7709" max="7709" width="20.7109375" customWidth="1"/>
    <col min="7710" max="7710" width="2" customWidth="1"/>
    <col min="7711" max="7711" width="10.140625" customWidth="1"/>
    <col min="7712" max="7712" width="13.7109375" customWidth="1"/>
    <col min="7713" max="7713" width="16.5703125" customWidth="1"/>
    <col min="7714" max="7714" width="16" customWidth="1"/>
    <col min="7715" max="7924" width="9.42578125" customWidth="1"/>
    <col min="7925" max="7925" width="7.140625" customWidth="1"/>
    <col min="7926" max="7926" width="35.28515625" customWidth="1"/>
    <col min="7927" max="7927" width="6.7109375" customWidth="1"/>
    <col min="7928" max="7928" width="5.7109375" customWidth="1"/>
    <col min="7929" max="7929" width="5.85546875" customWidth="1"/>
    <col min="7930" max="7930" width="7.85546875" customWidth="1"/>
    <col min="7937" max="7937" width="7.140625" customWidth="1"/>
    <col min="7938" max="7938" width="39.42578125" customWidth="1"/>
    <col min="7939" max="7939" width="6.7109375" customWidth="1"/>
    <col min="7940" max="7940" width="5.7109375" customWidth="1"/>
    <col min="7941" max="7941" width="5.85546875" customWidth="1"/>
    <col min="7942" max="7942" width="7.85546875" customWidth="1"/>
    <col min="7943" max="7943" width="14.28515625" customWidth="1"/>
    <col min="7944" max="7944" width="14" customWidth="1"/>
    <col min="7945" max="7959" width="0" hidden="1" customWidth="1"/>
    <col min="7960" max="7960" width="11.5703125" customWidth="1"/>
    <col min="7961" max="7961" width="11.85546875" customWidth="1"/>
    <col min="7962" max="7962" width="15.7109375" customWidth="1"/>
    <col min="7963" max="7963" width="1.5703125" customWidth="1"/>
    <col min="7964" max="7964" width="10.5703125" customWidth="1"/>
    <col min="7965" max="7965" width="20.7109375" customWidth="1"/>
    <col min="7966" max="7966" width="2" customWidth="1"/>
    <col min="7967" max="7967" width="10.140625" customWidth="1"/>
    <col min="7968" max="7968" width="13.7109375" customWidth="1"/>
    <col min="7969" max="7969" width="16.5703125" customWidth="1"/>
    <col min="7970" max="7970" width="16" customWidth="1"/>
    <col min="7971" max="8180" width="9.42578125" customWidth="1"/>
    <col min="8181" max="8181" width="7.140625" customWidth="1"/>
    <col min="8182" max="8182" width="35.28515625" customWidth="1"/>
    <col min="8183" max="8183" width="6.7109375" customWidth="1"/>
    <col min="8184" max="8184" width="5.7109375" customWidth="1"/>
    <col min="8185" max="8185" width="5.85546875" customWidth="1"/>
    <col min="8186" max="8186" width="7.85546875" customWidth="1"/>
    <col min="8193" max="8193" width="7.140625" customWidth="1"/>
    <col min="8194" max="8194" width="39.42578125" customWidth="1"/>
    <col min="8195" max="8195" width="6.7109375" customWidth="1"/>
    <col min="8196" max="8196" width="5.7109375" customWidth="1"/>
    <col min="8197" max="8197" width="5.85546875" customWidth="1"/>
    <col min="8198" max="8198" width="7.85546875" customWidth="1"/>
    <col min="8199" max="8199" width="14.28515625" customWidth="1"/>
    <col min="8200" max="8200" width="14" customWidth="1"/>
    <col min="8201" max="8215" width="0" hidden="1" customWidth="1"/>
    <col min="8216" max="8216" width="11.5703125" customWidth="1"/>
    <col min="8217" max="8217" width="11.85546875" customWidth="1"/>
    <col min="8218" max="8218" width="15.7109375" customWidth="1"/>
    <col min="8219" max="8219" width="1.5703125" customWidth="1"/>
    <col min="8220" max="8220" width="10.5703125" customWidth="1"/>
    <col min="8221" max="8221" width="20.7109375" customWidth="1"/>
    <col min="8222" max="8222" width="2" customWidth="1"/>
    <col min="8223" max="8223" width="10.140625" customWidth="1"/>
    <col min="8224" max="8224" width="13.7109375" customWidth="1"/>
    <col min="8225" max="8225" width="16.5703125" customWidth="1"/>
    <col min="8226" max="8226" width="16" customWidth="1"/>
    <col min="8227" max="8436" width="9.42578125" customWidth="1"/>
    <col min="8437" max="8437" width="7.140625" customWidth="1"/>
    <col min="8438" max="8438" width="35.28515625" customWidth="1"/>
    <col min="8439" max="8439" width="6.7109375" customWidth="1"/>
    <col min="8440" max="8440" width="5.7109375" customWidth="1"/>
    <col min="8441" max="8441" width="5.85546875" customWidth="1"/>
    <col min="8442" max="8442" width="7.85546875" customWidth="1"/>
    <col min="8449" max="8449" width="7.140625" customWidth="1"/>
    <col min="8450" max="8450" width="39.42578125" customWidth="1"/>
    <col min="8451" max="8451" width="6.7109375" customWidth="1"/>
    <col min="8452" max="8452" width="5.7109375" customWidth="1"/>
    <col min="8453" max="8453" width="5.85546875" customWidth="1"/>
    <col min="8454" max="8454" width="7.85546875" customWidth="1"/>
    <col min="8455" max="8455" width="14.28515625" customWidth="1"/>
    <col min="8456" max="8456" width="14" customWidth="1"/>
    <col min="8457" max="8471" width="0" hidden="1" customWidth="1"/>
    <col min="8472" max="8472" width="11.5703125" customWidth="1"/>
    <col min="8473" max="8473" width="11.85546875" customWidth="1"/>
    <col min="8474" max="8474" width="15.7109375" customWidth="1"/>
    <col min="8475" max="8475" width="1.5703125" customWidth="1"/>
    <col min="8476" max="8476" width="10.5703125" customWidth="1"/>
    <col min="8477" max="8477" width="20.7109375" customWidth="1"/>
    <col min="8478" max="8478" width="2" customWidth="1"/>
    <col min="8479" max="8479" width="10.140625" customWidth="1"/>
    <col min="8480" max="8480" width="13.7109375" customWidth="1"/>
    <col min="8481" max="8481" width="16.5703125" customWidth="1"/>
    <col min="8482" max="8482" width="16" customWidth="1"/>
    <col min="8483" max="8692" width="9.42578125" customWidth="1"/>
    <col min="8693" max="8693" width="7.140625" customWidth="1"/>
    <col min="8694" max="8694" width="35.28515625" customWidth="1"/>
    <col min="8695" max="8695" width="6.7109375" customWidth="1"/>
    <col min="8696" max="8696" width="5.7109375" customWidth="1"/>
    <col min="8697" max="8697" width="5.85546875" customWidth="1"/>
    <col min="8698" max="8698" width="7.85546875" customWidth="1"/>
    <col min="8705" max="8705" width="7.140625" customWidth="1"/>
    <col min="8706" max="8706" width="39.42578125" customWidth="1"/>
    <col min="8707" max="8707" width="6.7109375" customWidth="1"/>
    <col min="8708" max="8708" width="5.7109375" customWidth="1"/>
    <col min="8709" max="8709" width="5.85546875" customWidth="1"/>
    <col min="8710" max="8710" width="7.85546875" customWidth="1"/>
    <col min="8711" max="8711" width="14.28515625" customWidth="1"/>
    <col min="8712" max="8712" width="14" customWidth="1"/>
    <col min="8713" max="8727" width="0" hidden="1" customWidth="1"/>
    <col min="8728" max="8728" width="11.5703125" customWidth="1"/>
    <col min="8729" max="8729" width="11.85546875" customWidth="1"/>
    <col min="8730" max="8730" width="15.7109375" customWidth="1"/>
    <col min="8731" max="8731" width="1.5703125" customWidth="1"/>
    <col min="8732" max="8732" width="10.5703125" customWidth="1"/>
    <col min="8733" max="8733" width="20.7109375" customWidth="1"/>
    <col min="8734" max="8734" width="2" customWidth="1"/>
    <col min="8735" max="8735" width="10.140625" customWidth="1"/>
    <col min="8736" max="8736" width="13.7109375" customWidth="1"/>
    <col min="8737" max="8737" width="16.5703125" customWidth="1"/>
    <col min="8738" max="8738" width="16" customWidth="1"/>
    <col min="8739" max="8948" width="9.42578125" customWidth="1"/>
    <col min="8949" max="8949" width="7.140625" customWidth="1"/>
    <col min="8950" max="8950" width="35.28515625" customWidth="1"/>
    <col min="8951" max="8951" width="6.7109375" customWidth="1"/>
    <col min="8952" max="8952" width="5.7109375" customWidth="1"/>
    <col min="8953" max="8953" width="5.85546875" customWidth="1"/>
    <col min="8954" max="8954" width="7.85546875" customWidth="1"/>
    <col min="8961" max="8961" width="7.140625" customWidth="1"/>
    <col min="8962" max="8962" width="39.42578125" customWidth="1"/>
    <col min="8963" max="8963" width="6.7109375" customWidth="1"/>
    <col min="8964" max="8964" width="5.7109375" customWidth="1"/>
    <col min="8965" max="8965" width="5.85546875" customWidth="1"/>
    <col min="8966" max="8966" width="7.85546875" customWidth="1"/>
    <col min="8967" max="8967" width="14.28515625" customWidth="1"/>
    <col min="8968" max="8968" width="14" customWidth="1"/>
    <col min="8969" max="8983" width="0" hidden="1" customWidth="1"/>
    <col min="8984" max="8984" width="11.5703125" customWidth="1"/>
    <col min="8985" max="8985" width="11.85546875" customWidth="1"/>
    <col min="8986" max="8986" width="15.7109375" customWidth="1"/>
    <col min="8987" max="8987" width="1.5703125" customWidth="1"/>
    <col min="8988" max="8988" width="10.5703125" customWidth="1"/>
    <col min="8989" max="8989" width="20.7109375" customWidth="1"/>
    <col min="8990" max="8990" width="2" customWidth="1"/>
    <col min="8991" max="8991" width="10.140625" customWidth="1"/>
    <col min="8992" max="8992" width="13.7109375" customWidth="1"/>
    <col min="8993" max="8993" width="16.5703125" customWidth="1"/>
    <col min="8994" max="8994" width="16" customWidth="1"/>
    <col min="8995" max="9204" width="9.42578125" customWidth="1"/>
    <col min="9205" max="9205" width="7.140625" customWidth="1"/>
    <col min="9206" max="9206" width="35.28515625" customWidth="1"/>
    <col min="9207" max="9207" width="6.7109375" customWidth="1"/>
    <col min="9208" max="9208" width="5.7109375" customWidth="1"/>
    <col min="9209" max="9209" width="5.85546875" customWidth="1"/>
    <col min="9210" max="9210" width="7.85546875" customWidth="1"/>
    <col min="9217" max="9217" width="7.140625" customWidth="1"/>
    <col min="9218" max="9218" width="39.42578125" customWidth="1"/>
    <col min="9219" max="9219" width="6.7109375" customWidth="1"/>
    <col min="9220" max="9220" width="5.7109375" customWidth="1"/>
    <col min="9221" max="9221" width="5.85546875" customWidth="1"/>
    <col min="9222" max="9222" width="7.85546875" customWidth="1"/>
    <col min="9223" max="9223" width="14.28515625" customWidth="1"/>
    <col min="9224" max="9224" width="14" customWidth="1"/>
    <col min="9225" max="9239" width="0" hidden="1" customWidth="1"/>
    <col min="9240" max="9240" width="11.5703125" customWidth="1"/>
    <col min="9241" max="9241" width="11.85546875" customWidth="1"/>
    <col min="9242" max="9242" width="15.7109375" customWidth="1"/>
    <col min="9243" max="9243" width="1.5703125" customWidth="1"/>
    <col min="9244" max="9244" width="10.5703125" customWidth="1"/>
    <col min="9245" max="9245" width="20.7109375" customWidth="1"/>
    <col min="9246" max="9246" width="2" customWidth="1"/>
    <col min="9247" max="9247" width="10.140625" customWidth="1"/>
    <col min="9248" max="9248" width="13.7109375" customWidth="1"/>
    <col min="9249" max="9249" width="16.5703125" customWidth="1"/>
    <col min="9250" max="9250" width="16" customWidth="1"/>
    <col min="9251" max="9460" width="9.42578125" customWidth="1"/>
    <col min="9461" max="9461" width="7.140625" customWidth="1"/>
    <col min="9462" max="9462" width="35.28515625" customWidth="1"/>
    <col min="9463" max="9463" width="6.7109375" customWidth="1"/>
    <col min="9464" max="9464" width="5.7109375" customWidth="1"/>
    <col min="9465" max="9465" width="5.85546875" customWidth="1"/>
    <col min="9466" max="9466" width="7.85546875" customWidth="1"/>
    <col min="9473" max="9473" width="7.140625" customWidth="1"/>
    <col min="9474" max="9474" width="39.42578125" customWidth="1"/>
    <col min="9475" max="9475" width="6.7109375" customWidth="1"/>
    <col min="9476" max="9476" width="5.7109375" customWidth="1"/>
    <col min="9477" max="9477" width="5.85546875" customWidth="1"/>
    <col min="9478" max="9478" width="7.85546875" customWidth="1"/>
    <col min="9479" max="9479" width="14.28515625" customWidth="1"/>
    <col min="9480" max="9480" width="14" customWidth="1"/>
    <col min="9481" max="9495" width="0" hidden="1" customWidth="1"/>
    <col min="9496" max="9496" width="11.5703125" customWidth="1"/>
    <col min="9497" max="9497" width="11.85546875" customWidth="1"/>
    <col min="9498" max="9498" width="15.7109375" customWidth="1"/>
    <col min="9499" max="9499" width="1.5703125" customWidth="1"/>
    <col min="9500" max="9500" width="10.5703125" customWidth="1"/>
    <col min="9501" max="9501" width="20.7109375" customWidth="1"/>
    <col min="9502" max="9502" width="2" customWidth="1"/>
    <col min="9503" max="9503" width="10.140625" customWidth="1"/>
    <col min="9504" max="9504" width="13.7109375" customWidth="1"/>
    <col min="9505" max="9505" width="16.5703125" customWidth="1"/>
    <col min="9506" max="9506" width="16" customWidth="1"/>
    <col min="9507" max="9716" width="9.42578125" customWidth="1"/>
    <col min="9717" max="9717" width="7.140625" customWidth="1"/>
    <col min="9718" max="9718" width="35.28515625" customWidth="1"/>
    <col min="9719" max="9719" width="6.7109375" customWidth="1"/>
    <col min="9720" max="9720" width="5.7109375" customWidth="1"/>
    <col min="9721" max="9721" width="5.85546875" customWidth="1"/>
    <col min="9722" max="9722" width="7.85546875" customWidth="1"/>
    <col min="9729" max="9729" width="7.140625" customWidth="1"/>
    <col min="9730" max="9730" width="39.42578125" customWidth="1"/>
    <col min="9731" max="9731" width="6.7109375" customWidth="1"/>
    <col min="9732" max="9732" width="5.7109375" customWidth="1"/>
    <col min="9733" max="9733" width="5.85546875" customWidth="1"/>
    <col min="9734" max="9734" width="7.85546875" customWidth="1"/>
    <col min="9735" max="9735" width="14.28515625" customWidth="1"/>
    <col min="9736" max="9736" width="14" customWidth="1"/>
    <col min="9737" max="9751" width="0" hidden="1" customWidth="1"/>
    <col min="9752" max="9752" width="11.5703125" customWidth="1"/>
    <col min="9753" max="9753" width="11.85546875" customWidth="1"/>
    <col min="9754" max="9754" width="15.7109375" customWidth="1"/>
    <col min="9755" max="9755" width="1.5703125" customWidth="1"/>
    <col min="9756" max="9756" width="10.5703125" customWidth="1"/>
    <col min="9757" max="9757" width="20.7109375" customWidth="1"/>
    <col min="9758" max="9758" width="2" customWidth="1"/>
    <col min="9759" max="9759" width="10.140625" customWidth="1"/>
    <col min="9760" max="9760" width="13.7109375" customWidth="1"/>
    <col min="9761" max="9761" width="16.5703125" customWidth="1"/>
    <col min="9762" max="9762" width="16" customWidth="1"/>
    <col min="9763" max="9972" width="9.42578125" customWidth="1"/>
    <col min="9973" max="9973" width="7.140625" customWidth="1"/>
    <col min="9974" max="9974" width="35.28515625" customWidth="1"/>
    <col min="9975" max="9975" width="6.7109375" customWidth="1"/>
    <col min="9976" max="9976" width="5.7109375" customWidth="1"/>
    <col min="9977" max="9977" width="5.85546875" customWidth="1"/>
    <col min="9978" max="9978" width="7.85546875" customWidth="1"/>
    <col min="9985" max="9985" width="7.140625" customWidth="1"/>
    <col min="9986" max="9986" width="39.42578125" customWidth="1"/>
    <col min="9987" max="9987" width="6.7109375" customWidth="1"/>
    <col min="9988" max="9988" width="5.7109375" customWidth="1"/>
    <col min="9989" max="9989" width="5.85546875" customWidth="1"/>
    <col min="9990" max="9990" width="7.85546875" customWidth="1"/>
    <col min="9991" max="9991" width="14.28515625" customWidth="1"/>
    <col min="9992" max="9992" width="14" customWidth="1"/>
    <col min="9993" max="10007" width="0" hidden="1" customWidth="1"/>
    <col min="10008" max="10008" width="11.5703125" customWidth="1"/>
    <col min="10009" max="10009" width="11.85546875" customWidth="1"/>
    <col min="10010" max="10010" width="15.7109375" customWidth="1"/>
    <col min="10011" max="10011" width="1.5703125" customWidth="1"/>
    <col min="10012" max="10012" width="10.5703125" customWidth="1"/>
    <col min="10013" max="10013" width="20.7109375" customWidth="1"/>
    <col min="10014" max="10014" width="2" customWidth="1"/>
    <col min="10015" max="10015" width="10.140625" customWidth="1"/>
    <col min="10016" max="10016" width="13.7109375" customWidth="1"/>
    <col min="10017" max="10017" width="16.5703125" customWidth="1"/>
    <col min="10018" max="10018" width="16" customWidth="1"/>
    <col min="10019" max="10228" width="9.42578125" customWidth="1"/>
    <col min="10229" max="10229" width="7.140625" customWidth="1"/>
    <col min="10230" max="10230" width="35.28515625" customWidth="1"/>
    <col min="10231" max="10231" width="6.7109375" customWidth="1"/>
    <col min="10232" max="10232" width="5.7109375" customWidth="1"/>
    <col min="10233" max="10233" width="5.85546875" customWidth="1"/>
    <col min="10234" max="10234" width="7.85546875" customWidth="1"/>
    <col min="10241" max="10241" width="7.140625" customWidth="1"/>
    <col min="10242" max="10242" width="39.42578125" customWidth="1"/>
    <col min="10243" max="10243" width="6.7109375" customWidth="1"/>
    <col min="10244" max="10244" width="5.7109375" customWidth="1"/>
    <col min="10245" max="10245" width="5.85546875" customWidth="1"/>
    <col min="10246" max="10246" width="7.85546875" customWidth="1"/>
    <col min="10247" max="10247" width="14.28515625" customWidth="1"/>
    <col min="10248" max="10248" width="14" customWidth="1"/>
    <col min="10249" max="10263" width="0" hidden="1" customWidth="1"/>
    <col min="10264" max="10264" width="11.5703125" customWidth="1"/>
    <col min="10265" max="10265" width="11.85546875" customWidth="1"/>
    <col min="10266" max="10266" width="15.7109375" customWidth="1"/>
    <col min="10267" max="10267" width="1.5703125" customWidth="1"/>
    <col min="10268" max="10268" width="10.5703125" customWidth="1"/>
    <col min="10269" max="10269" width="20.7109375" customWidth="1"/>
    <col min="10270" max="10270" width="2" customWidth="1"/>
    <col min="10271" max="10271" width="10.140625" customWidth="1"/>
    <col min="10272" max="10272" width="13.7109375" customWidth="1"/>
    <col min="10273" max="10273" width="16.5703125" customWidth="1"/>
    <col min="10274" max="10274" width="16" customWidth="1"/>
    <col min="10275" max="10484" width="9.42578125" customWidth="1"/>
    <col min="10485" max="10485" width="7.140625" customWidth="1"/>
    <col min="10486" max="10486" width="35.28515625" customWidth="1"/>
    <col min="10487" max="10487" width="6.7109375" customWidth="1"/>
    <col min="10488" max="10488" width="5.7109375" customWidth="1"/>
    <col min="10489" max="10489" width="5.85546875" customWidth="1"/>
    <col min="10490" max="10490" width="7.85546875" customWidth="1"/>
    <col min="10497" max="10497" width="7.140625" customWidth="1"/>
    <col min="10498" max="10498" width="39.42578125" customWidth="1"/>
    <col min="10499" max="10499" width="6.7109375" customWidth="1"/>
    <col min="10500" max="10500" width="5.7109375" customWidth="1"/>
    <col min="10501" max="10501" width="5.85546875" customWidth="1"/>
    <col min="10502" max="10502" width="7.85546875" customWidth="1"/>
    <col min="10503" max="10503" width="14.28515625" customWidth="1"/>
    <col min="10504" max="10504" width="14" customWidth="1"/>
    <col min="10505" max="10519" width="0" hidden="1" customWidth="1"/>
    <col min="10520" max="10520" width="11.5703125" customWidth="1"/>
    <col min="10521" max="10521" width="11.85546875" customWidth="1"/>
    <col min="10522" max="10522" width="15.7109375" customWidth="1"/>
    <col min="10523" max="10523" width="1.5703125" customWidth="1"/>
    <col min="10524" max="10524" width="10.5703125" customWidth="1"/>
    <col min="10525" max="10525" width="20.7109375" customWidth="1"/>
    <col min="10526" max="10526" width="2" customWidth="1"/>
    <col min="10527" max="10527" width="10.140625" customWidth="1"/>
    <col min="10528" max="10528" width="13.7109375" customWidth="1"/>
    <col min="10529" max="10529" width="16.5703125" customWidth="1"/>
    <col min="10530" max="10530" width="16" customWidth="1"/>
    <col min="10531" max="10740" width="9.42578125" customWidth="1"/>
    <col min="10741" max="10741" width="7.140625" customWidth="1"/>
    <col min="10742" max="10742" width="35.28515625" customWidth="1"/>
    <col min="10743" max="10743" width="6.7109375" customWidth="1"/>
    <col min="10744" max="10744" width="5.7109375" customWidth="1"/>
    <col min="10745" max="10745" width="5.85546875" customWidth="1"/>
    <col min="10746" max="10746" width="7.85546875" customWidth="1"/>
    <col min="10753" max="10753" width="7.140625" customWidth="1"/>
    <col min="10754" max="10754" width="39.42578125" customWidth="1"/>
    <col min="10755" max="10755" width="6.7109375" customWidth="1"/>
    <col min="10756" max="10756" width="5.7109375" customWidth="1"/>
    <col min="10757" max="10757" width="5.85546875" customWidth="1"/>
    <col min="10758" max="10758" width="7.85546875" customWidth="1"/>
    <col min="10759" max="10759" width="14.28515625" customWidth="1"/>
    <col min="10760" max="10760" width="14" customWidth="1"/>
    <col min="10761" max="10775" width="0" hidden="1" customWidth="1"/>
    <col min="10776" max="10776" width="11.5703125" customWidth="1"/>
    <col min="10777" max="10777" width="11.85546875" customWidth="1"/>
    <col min="10778" max="10778" width="15.7109375" customWidth="1"/>
    <col min="10779" max="10779" width="1.5703125" customWidth="1"/>
    <col min="10780" max="10780" width="10.5703125" customWidth="1"/>
    <col min="10781" max="10781" width="20.7109375" customWidth="1"/>
    <col min="10782" max="10782" width="2" customWidth="1"/>
    <col min="10783" max="10783" width="10.140625" customWidth="1"/>
    <col min="10784" max="10784" width="13.7109375" customWidth="1"/>
    <col min="10785" max="10785" width="16.5703125" customWidth="1"/>
    <col min="10786" max="10786" width="16" customWidth="1"/>
    <col min="10787" max="10996" width="9.42578125" customWidth="1"/>
    <col min="10997" max="10997" width="7.140625" customWidth="1"/>
    <col min="10998" max="10998" width="35.28515625" customWidth="1"/>
    <col min="10999" max="10999" width="6.7109375" customWidth="1"/>
    <col min="11000" max="11000" width="5.7109375" customWidth="1"/>
    <col min="11001" max="11001" width="5.85546875" customWidth="1"/>
    <col min="11002" max="11002" width="7.85546875" customWidth="1"/>
    <col min="11009" max="11009" width="7.140625" customWidth="1"/>
    <col min="11010" max="11010" width="39.42578125" customWidth="1"/>
    <col min="11011" max="11011" width="6.7109375" customWidth="1"/>
    <col min="11012" max="11012" width="5.7109375" customWidth="1"/>
    <col min="11013" max="11013" width="5.85546875" customWidth="1"/>
    <col min="11014" max="11014" width="7.85546875" customWidth="1"/>
    <col min="11015" max="11015" width="14.28515625" customWidth="1"/>
    <col min="11016" max="11016" width="14" customWidth="1"/>
    <col min="11017" max="11031" width="0" hidden="1" customWidth="1"/>
    <col min="11032" max="11032" width="11.5703125" customWidth="1"/>
    <col min="11033" max="11033" width="11.85546875" customWidth="1"/>
    <col min="11034" max="11034" width="15.7109375" customWidth="1"/>
    <col min="11035" max="11035" width="1.5703125" customWidth="1"/>
    <col min="11036" max="11036" width="10.5703125" customWidth="1"/>
    <col min="11037" max="11037" width="20.7109375" customWidth="1"/>
    <col min="11038" max="11038" width="2" customWidth="1"/>
    <col min="11039" max="11039" width="10.140625" customWidth="1"/>
    <col min="11040" max="11040" width="13.7109375" customWidth="1"/>
    <col min="11041" max="11041" width="16.5703125" customWidth="1"/>
    <col min="11042" max="11042" width="16" customWidth="1"/>
    <col min="11043" max="11252" width="9.42578125" customWidth="1"/>
    <col min="11253" max="11253" width="7.140625" customWidth="1"/>
    <col min="11254" max="11254" width="35.28515625" customWidth="1"/>
    <col min="11255" max="11255" width="6.7109375" customWidth="1"/>
    <col min="11256" max="11256" width="5.7109375" customWidth="1"/>
    <col min="11257" max="11257" width="5.85546875" customWidth="1"/>
    <col min="11258" max="11258" width="7.85546875" customWidth="1"/>
    <col min="11265" max="11265" width="7.140625" customWidth="1"/>
    <col min="11266" max="11266" width="39.42578125" customWidth="1"/>
    <col min="11267" max="11267" width="6.7109375" customWidth="1"/>
    <col min="11268" max="11268" width="5.7109375" customWidth="1"/>
    <col min="11269" max="11269" width="5.85546875" customWidth="1"/>
    <col min="11270" max="11270" width="7.85546875" customWidth="1"/>
    <col min="11271" max="11271" width="14.28515625" customWidth="1"/>
    <col min="11272" max="11272" width="14" customWidth="1"/>
    <col min="11273" max="11287" width="0" hidden="1" customWidth="1"/>
    <col min="11288" max="11288" width="11.5703125" customWidth="1"/>
    <col min="11289" max="11289" width="11.85546875" customWidth="1"/>
    <col min="11290" max="11290" width="15.7109375" customWidth="1"/>
    <col min="11291" max="11291" width="1.5703125" customWidth="1"/>
    <col min="11292" max="11292" width="10.5703125" customWidth="1"/>
    <col min="11293" max="11293" width="20.7109375" customWidth="1"/>
    <col min="11294" max="11294" width="2" customWidth="1"/>
    <col min="11295" max="11295" width="10.140625" customWidth="1"/>
    <col min="11296" max="11296" width="13.7109375" customWidth="1"/>
    <col min="11297" max="11297" width="16.5703125" customWidth="1"/>
    <col min="11298" max="11298" width="16" customWidth="1"/>
    <col min="11299" max="11508" width="9.42578125" customWidth="1"/>
    <col min="11509" max="11509" width="7.140625" customWidth="1"/>
    <col min="11510" max="11510" width="35.28515625" customWidth="1"/>
    <col min="11511" max="11511" width="6.7109375" customWidth="1"/>
    <col min="11512" max="11512" width="5.7109375" customWidth="1"/>
    <col min="11513" max="11513" width="5.85546875" customWidth="1"/>
    <col min="11514" max="11514" width="7.85546875" customWidth="1"/>
    <col min="11521" max="11521" width="7.140625" customWidth="1"/>
    <col min="11522" max="11522" width="39.42578125" customWidth="1"/>
    <col min="11523" max="11523" width="6.7109375" customWidth="1"/>
    <col min="11524" max="11524" width="5.7109375" customWidth="1"/>
    <col min="11525" max="11525" width="5.85546875" customWidth="1"/>
    <col min="11526" max="11526" width="7.85546875" customWidth="1"/>
    <col min="11527" max="11527" width="14.28515625" customWidth="1"/>
    <col min="11528" max="11528" width="14" customWidth="1"/>
    <col min="11529" max="11543" width="0" hidden="1" customWidth="1"/>
    <col min="11544" max="11544" width="11.5703125" customWidth="1"/>
    <col min="11545" max="11545" width="11.85546875" customWidth="1"/>
    <col min="11546" max="11546" width="15.7109375" customWidth="1"/>
    <col min="11547" max="11547" width="1.5703125" customWidth="1"/>
    <col min="11548" max="11548" width="10.5703125" customWidth="1"/>
    <col min="11549" max="11549" width="20.7109375" customWidth="1"/>
    <col min="11550" max="11550" width="2" customWidth="1"/>
    <col min="11551" max="11551" width="10.140625" customWidth="1"/>
    <col min="11552" max="11552" width="13.7109375" customWidth="1"/>
    <col min="11553" max="11553" width="16.5703125" customWidth="1"/>
    <col min="11554" max="11554" width="16" customWidth="1"/>
    <col min="11555" max="11764" width="9.42578125" customWidth="1"/>
    <col min="11765" max="11765" width="7.140625" customWidth="1"/>
    <col min="11766" max="11766" width="35.28515625" customWidth="1"/>
    <col min="11767" max="11767" width="6.7109375" customWidth="1"/>
    <col min="11768" max="11768" width="5.7109375" customWidth="1"/>
    <col min="11769" max="11769" width="5.85546875" customWidth="1"/>
    <col min="11770" max="11770" width="7.85546875" customWidth="1"/>
    <col min="11777" max="11777" width="7.140625" customWidth="1"/>
    <col min="11778" max="11778" width="39.42578125" customWidth="1"/>
    <col min="11779" max="11779" width="6.7109375" customWidth="1"/>
    <col min="11780" max="11780" width="5.7109375" customWidth="1"/>
    <col min="11781" max="11781" width="5.85546875" customWidth="1"/>
    <col min="11782" max="11782" width="7.85546875" customWidth="1"/>
    <col min="11783" max="11783" width="14.28515625" customWidth="1"/>
    <col min="11784" max="11784" width="14" customWidth="1"/>
    <col min="11785" max="11799" width="0" hidden="1" customWidth="1"/>
    <col min="11800" max="11800" width="11.5703125" customWidth="1"/>
    <col min="11801" max="11801" width="11.85546875" customWidth="1"/>
    <col min="11802" max="11802" width="15.7109375" customWidth="1"/>
    <col min="11803" max="11803" width="1.5703125" customWidth="1"/>
    <col min="11804" max="11804" width="10.5703125" customWidth="1"/>
    <col min="11805" max="11805" width="20.7109375" customWidth="1"/>
    <col min="11806" max="11806" width="2" customWidth="1"/>
    <col min="11807" max="11807" width="10.140625" customWidth="1"/>
    <col min="11808" max="11808" width="13.7109375" customWidth="1"/>
    <col min="11809" max="11809" width="16.5703125" customWidth="1"/>
    <col min="11810" max="11810" width="16" customWidth="1"/>
    <col min="11811" max="12020" width="9.42578125" customWidth="1"/>
    <col min="12021" max="12021" width="7.140625" customWidth="1"/>
    <col min="12022" max="12022" width="35.28515625" customWidth="1"/>
    <col min="12023" max="12023" width="6.7109375" customWidth="1"/>
    <col min="12024" max="12024" width="5.7109375" customWidth="1"/>
    <col min="12025" max="12025" width="5.85546875" customWidth="1"/>
    <col min="12026" max="12026" width="7.85546875" customWidth="1"/>
    <col min="12033" max="12033" width="7.140625" customWidth="1"/>
    <col min="12034" max="12034" width="39.42578125" customWidth="1"/>
    <col min="12035" max="12035" width="6.7109375" customWidth="1"/>
    <col min="12036" max="12036" width="5.7109375" customWidth="1"/>
    <col min="12037" max="12037" width="5.85546875" customWidth="1"/>
    <col min="12038" max="12038" width="7.85546875" customWidth="1"/>
    <col min="12039" max="12039" width="14.28515625" customWidth="1"/>
    <col min="12040" max="12040" width="14" customWidth="1"/>
    <col min="12041" max="12055" width="0" hidden="1" customWidth="1"/>
    <col min="12056" max="12056" width="11.5703125" customWidth="1"/>
    <col min="12057" max="12057" width="11.85546875" customWidth="1"/>
    <col min="12058" max="12058" width="15.7109375" customWidth="1"/>
    <col min="12059" max="12059" width="1.5703125" customWidth="1"/>
    <col min="12060" max="12060" width="10.5703125" customWidth="1"/>
    <col min="12061" max="12061" width="20.7109375" customWidth="1"/>
    <col min="12062" max="12062" width="2" customWidth="1"/>
    <col min="12063" max="12063" width="10.140625" customWidth="1"/>
    <col min="12064" max="12064" width="13.7109375" customWidth="1"/>
    <col min="12065" max="12065" width="16.5703125" customWidth="1"/>
    <col min="12066" max="12066" width="16" customWidth="1"/>
    <col min="12067" max="12276" width="9.42578125" customWidth="1"/>
    <col min="12277" max="12277" width="7.140625" customWidth="1"/>
    <col min="12278" max="12278" width="35.28515625" customWidth="1"/>
    <col min="12279" max="12279" width="6.7109375" customWidth="1"/>
    <col min="12280" max="12280" width="5.7109375" customWidth="1"/>
    <col min="12281" max="12281" width="5.85546875" customWidth="1"/>
    <col min="12282" max="12282" width="7.85546875" customWidth="1"/>
    <col min="12289" max="12289" width="7.140625" customWidth="1"/>
    <col min="12290" max="12290" width="39.42578125" customWidth="1"/>
    <col min="12291" max="12291" width="6.7109375" customWidth="1"/>
    <col min="12292" max="12292" width="5.7109375" customWidth="1"/>
    <col min="12293" max="12293" width="5.85546875" customWidth="1"/>
    <col min="12294" max="12294" width="7.85546875" customWidth="1"/>
    <col min="12295" max="12295" width="14.28515625" customWidth="1"/>
    <col min="12296" max="12296" width="14" customWidth="1"/>
    <col min="12297" max="12311" width="0" hidden="1" customWidth="1"/>
    <col min="12312" max="12312" width="11.5703125" customWidth="1"/>
    <col min="12313" max="12313" width="11.85546875" customWidth="1"/>
    <col min="12314" max="12314" width="15.7109375" customWidth="1"/>
    <col min="12315" max="12315" width="1.5703125" customWidth="1"/>
    <col min="12316" max="12316" width="10.5703125" customWidth="1"/>
    <col min="12317" max="12317" width="20.7109375" customWidth="1"/>
    <col min="12318" max="12318" width="2" customWidth="1"/>
    <col min="12319" max="12319" width="10.140625" customWidth="1"/>
    <col min="12320" max="12320" width="13.7109375" customWidth="1"/>
    <col min="12321" max="12321" width="16.5703125" customWidth="1"/>
    <col min="12322" max="12322" width="16" customWidth="1"/>
    <col min="12323" max="12532" width="9.42578125" customWidth="1"/>
    <col min="12533" max="12533" width="7.140625" customWidth="1"/>
    <col min="12534" max="12534" width="35.28515625" customWidth="1"/>
    <col min="12535" max="12535" width="6.7109375" customWidth="1"/>
    <col min="12536" max="12536" width="5.7109375" customWidth="1"/>
    <col min="12537" max="12537" width="5.85546875" customWidth="1"/>
    <col min="12538" max="12538" width="7.85546875" customWidth="1"/>
    <col min="12545" max="12545" width="7.140625" customWidth="1"/>
    <col min="12546" max="12546" width="39.42578125" customWidth="1"/>
    <col min="12547" max="12547" width="6.7109375" customWidth="1"/>
    <col min="12548" max="12548" width="5.7109375" customWidth="1"/>
    <col min="12549" max="12549" width="5.85546875" customWidth="1"/>
    <col min="12550" max="12550" width="7.85546875" customWidth="1"/>
    <col min="12551" max="12551" width="14.28515625" customWidth="1"/>
    <col min="12552" max="12552" width="14" customWidth="1"/>
    <col min="12553" max="12567" width="0" hidden="1" customWidth="1"/>
    <col min="12568" max="12568" width="11.5703125" customWidth="1"/>
    <col min="12569" max="12569" width="11.85546875" customWidth="1"/>
    <col min="12570" max="12570" width="15.7109375" customWidth="1"/>
    <col min="12571" max="12571" width="1.5703125" customWidth="1"/>
    <col min="12572" max="12572" width="10.5703125" customWidth="1"/>
    <col min="12573" max="12573" width="20.7109375" customWidth="1"/>
    <col min="12574" max="12574" width="2" customWidth="1"/>
    <col min="12575" max="12575" width="10.140625" customWidth="1"/>
    <col min="12576" max="12576" width="13.7109375" customWidth="1"/>
    <col min="12577" max="12577" width="16.5703125" customWidth="1"/>
    <col min="12578" max="12578" width="16" customWidth="1"/>
    <col min="12579" max="12788" width="9.42578125" customWidth="1"/>
    <col min="12789" max="12789" width="7.140625" customWidth="1"/>
    <col min="12790" max="12790" width="35.28515625" customWidth="1"/>
    <col min="12791" max="12791" width="6.7109375" customWidth="1"/>
    <col min="12792" max="12792" width="5.7109375" customWidth="1"/>
    <col min="12793" max="12793" width="5.85546875" customWidth="1"/>
    <col min="12794" max="12794" width="7.85546875" customWidth="1"/>
    <col min="12801" max="12801" width="7.140625" customWidth="1"/>
    <col min="12802" max="12802" width="39.42578125" customWidth="1"/>
    <col min="12803" max="12803" width="6.7109375" customWidth="1"/>
    <col min="12804" max="12804" width="5.7109375" customWidth="1"/>
    <col min="12805" max="12805" width="5.85546875" customWidth="1"/>
    <col min="12806" max="12806" width="7.85546875" customWidth="1"/>
    <col min="12807" max="12807" width="14.28515625" customWidth="1"/>
    <col min="12808" max="12808" width="14" customWidth="1"/>
    <col min="12809" max="12823" width="0" hidden="1" customWidth="1"/>
    <col min="12824" max="12824" width="11.5703125" customWidth="1"/>
    <col min="12825" max="12825" width="11.85546875" customWidth="1"/>
    <col min="12826" max="12826" width="15.7109375" customWidth="1"/>
    <col min="12827" max="12827" width="1.5703125" customWidth="1"/>
    <col min="12828" max="12828" width="10.5703125" customWidth="1"/>
    <col min="12829" max="12829" width="20.7109375" customWidth="1"/>
    <col min="12830" max="12830" width="2" customWidth="1"/>
    <col min="12831" max="12831" width="10.140625" customWidth="1"/>
    <col min="12832" max="12832" width="13.7109375" customWidth="1"/>
    <col min="12833" max="12833" width="16.5703125" customWidth="1"/>
    <col min="12834" max="12834" width="16" customWidth="1"/>
    <col min="12835" max="13044" width="9.42578125" customWidth="1"/>
    <col min="13045" max="13045" width="7.140625" customWidth="1"/>
    <col min="13046" max="13046" width="35.28515625" customWidth="1"/>
    <col min="13047" max="13047" width="6.7109375" customWidth="1"/>
    <col min="13048" max="13048" width="5.7109375" customWidth="1"/>
    <col min="13049" max="13049" width="5.85546875" customWidth="1"/>
    <col min="13050" max="13050" width="7.85546875" customWidth="1"/>
    <col min="13057" max="13057" width="7.140625" customWidth="1"/>
    <col min="13058" max="13058" width="39.42578125" customWidth="1"/>
    <col min="13059" max="13059" width="6.7109375" customWidth="1"/>
    <col min="13060" max="13060" width="5.7109375" customWidth="1"/>
    <col min="13061" max="13061" width="5.85546875" customWidth="1"/>
    <col min="13062" max="13062" width="7.85546875" customWidth="1"/>
    <col min="13063" max="13063" width="14.28515625" customWidth="1"/>
    <col min="13064" max="13064" width="14" customWidth="1"/>
    <col min="13065" max="13079" width="0" hidden="1" customWidth="1"/>
    <col min="13080" max="13080" width="11.5703125" customWidth="1"/>
    <col min="13081" max="13081" width="11.85546875" customWidth="1"/>
    <col min="13082" max="13082" width="15.7109375" customWidth="1"/>
    <col min="13083" max="13083" width="1.5703125" customWidth="1"/>
    <col min="13084" max="13084" width="10.5703125" customWidth="1"/>
    <col min="13085" max="13085" width="20.7109375" customWidth="1"/>
    <col min="13086" max="13086" width="2" customWidth="1"/>
    <col min="13087" max="13087" width="10.140625" customWidth="1"/>
    <col min="13088" max="13088" width="13.7109375" customWidth="1"/>
    <col min="13089" max="13089" width="16.5703125" customWidth="1"/>
    <col min="13090" max="13090" width="16" customWidth="1"/>
    <col min="13091" max="13300" width="9.42578125" customWidth="1"/>
    <col min="13301" max="13301" width="7.140625" customWidth="1"/>
    <col min="13302" max="13302" width="35.28515625" customWidth="1"/>
    <col min="13303" max="13303" width="6.7109375" customWidth="1"/>
    <col min="13304" max="13304" width="5.7109375" customWidth="1"/>
    <col min="13305" max="13305" width="5.85546875" customWidth="1"/>
    <col min="13306" max="13306" width="7.85546875" customWidth="1"/>
    <col min="13313" max="13313" width="7.140625" customWidth="1"/>
    <col min="13314" max="13314" width="39.42578125" customWidth="1"/>
    <col min="13315" max="13315" width="6.7109375" customWidth="1"/>
    <col min="13316" max="13316" width="5.7109375" customWidth="1"/>
    <col min="13317" max="13317" width="5.85546875" customWidth="1"/>
    <col min="13318" max="13318" width="7.85546875" customWidth="1"/>
    <col min="13319" max="13319" width="14.28515625" customWidth="1"/>
    <col min="13320" max="13320" width="14" customWidth="1"/>
    <col min="13321" max="13335" width="0" hidden="1" customWidth="1"/>
    <col min="13336" max="13336" width="11.5703125" customWidth="1"/>
    <col min="13337" max="13337" width="11.85546875" customWidth="1"/>
    <col min="13338" max="13338" width="15.7109375" customWidth="1"/>
    <col min="13339" max="13339" width="1.5703125" customWidth="1"/>
    <col min="13340" max="13340" width="10.5703125" customWidth="1"/>
    <col min="13341" max="13341" width="20.7109375" customWidth="1"/>
    <col min="13342" max="13342" width="2" customWidth="1"/>
    <col min="13343" max="13343" width="10.140625" customWidth="1"/>
    <col min="13344" max="13344" width="13.7109375" customWidth="1"/>
    <col min="13345" max="13345" width="16.5703125" customWidth="1"/>
    <col min="13346" max="13346" width="16" customWidth="1"/>
    <col min="13347" max="13556" width="9.42578125" customWidth="1"/>
    <col min="13557" max="13557" width="7.140625" customWidth="1"/>
    <col min="13558" max="13558" width="35.28515625" customWidth="1"/>
    <col min="13559" max="13559" width="6.7109375" customWidth="1"/>
    <col min="13560" max="13560" width="5.7109375" customWidth="1"/>
    <col min="13561" max="13561" width="5.85546875" customWidth="1"/>
    <col min="13562" max="13562" width="7.85546875" customWidth="1"/>
    <col min="13569" max="13569" width="7.140625" customWidth="1"/>
    <col min="13570" max="13570" width="39.42578125" customWidth="1"/>
    <col min="13571" max="13571" width="6.7109375" customWidth="1"/>
    <col min="13572" max="13572" width="5.7109375" customWidth="1"/>
    <col min="13573" max="13573" width="5.85546875" customWidth="1"/>
    <col min="13574" max="13574" width="7.85546875" customWidth="1"/>
    <col min="13575" max="13575" width="14.28515625" customWidth="1"/>
    <col min="13576" max="13576" width="14" customWidth="1"/>
    <col min="13577" max="13591" width="0" hidden="1" customWidth="1"/>
    <col min="13592" max="13592" width="11.5703125" customWidth="1"/>
    <col min="13593" max="13593" width="11.85546875" customWidth="1"/>
    <col min="13594" max="13594" width="15.7109375" customWidth="1"/>
    <col min="13595" max="13595" width="1.5703125" customWidth="1"/>
    <col min="13596" max="13596" width="10.5703125" customWidth="1"/>
    <col min="13597" max="13597" width="20.7109375" customWidth="1"/>
    <col min="13598" max="13598" width="2" customWidth="1"/>
    <col min="13599" max="13599" width="10.140625" customWidth="1"/>
    <col min="13600" max="13600" width="13.7109375" customWidth="1"/>
    <col min="13601" max="13601" width="16.5703125" customWidth="1"/>
    <col min="13602" max="13602" width="16" customWidth="1"/>
    <col min="13603" max="13812" width="9.42578125" customWidth="1"/>
    <col min="13813" max="13813" width="7.140625" customWidth="1"/>
    <col min="13814" max="13814" width="35.28515625" customWidth="1"/>
    <col min="13815" max="13815" width="6.7109375" customWidth="1"/>
    <col min="13816" max="13816" width="5.7109375" customWidth="1"/>
    <col min="13817" max="13817" width="5.85546875" customWidth="1"/>
    <col min="13818" max="13818" width="7.85546875" customWidth="1"/>
    <col min="13825" max="13825" width="7.140625" customWidth="1"/>
    <col min="13826" max="13826" width="39.42578125" customWidth="1"/>
    <col min="13827" max="13827" width="6.7109375" customWidth="1"/>
    <col min="13828" max="13828" width="5.7109375" customWidth="1"/>
    <col min="13829" max="13829" width="5.85546875" customWidth="1"/>
    <col min="13830" max="13830" width="7.85546875" customWidth="1"/>
    <col min="13831" max="13831" width="14.28515625" customWidth="1"/>
    <col min="13832" max="13832" width="14" customWidth="1"/>
    <col min="13833" max="13847" width="0" hidden="1" customWidth="1"/>
    <col min="13848" max="13848" width="11.5703125" customWidth="1"/>
    <col min="13849" max="13849" width="11.85546875" customWidth="1"/>
    <col min="13850" max="13850" width="15.7109375" customWidth="1"/>
    <col min="13851" max="13851" width="1.5703125" customWidth="1"/>
    <col min="13852" max="13852" width="10.5703125" customWidth="1"/>
    <col min="13853" max="13853" width="20.7109375" customWidth="1"/>
    <col min="13854" max="13854" width="2" customWidth="1"/>
    <col min="13855" max="13855" width="10.140625" customWidth="1"/>
    <col min="13856" max="13856" width="13.7109375" customWidth="1"/>
    <col min="13857" max="13857" width="16.5703125" customWidth="1"/>
    <col min="13858" max="13858" width="16" customWidth="1"/>
    <col min="13859" max="14068" width="9.42578125" customWidth="1"/>
    <col min="14069" max="14069" width="7.140625" customWidth="1"/>
    <col min="14070" max="14070" width="35.28515625" customWidth="1"/>
    <col min="14071" max="14071" width="6.7109375" customWidth="1"/>
    <col min="14072" max="14072" width="5.7109375" customWidth="1"/>
    <col min="14073" max="14073" width="5.85546875" customWidth="1"/>
    <col min="14074" max="14074" width="7.85546875" customWidth="1"/>
    <col min="14081" max="14081" width="7.140625" customWidth="1"/>
    <col min="14082" max="14082" width="39.42578125" customWidth="1"/>
    <col min="14083" max="14083" width="6.7109375" customWidth="1"/>
    <col min="14084" max="14084" width="5.7109375" customWidth="1"/>
    <col min="14085" max="14085" width="5.85546875" customWidth="1"/>
    <col min="14086" max="14086" width="7.85546875" customWidth="1"/>
    <col min="14087" max="14087" width="14.28515625" customWidth="1"/>
    <col min="14088" max="14088" width="14" customWidth="1"/>
    <col min="14089" max="14103" width="0" hidden="1" customWidth="1"/>
    <col min="14104" max="14104" width="11.5703125" customWidth="1"/>
    <col min="14105" max="14105" width="11.85546875" customWidth="1"/>
    <col min="14106" max="14106" width="15.7109375" customWidth="1"/>
    <col min="14107" max="14107" width="1.5703125" customWidth="1"/>
    <col min="14108" max="14108" width="10.5703125" customWidth="1"/>
    <col min="14109" max="14109" width="20.7109375" customWidth="1"/>
    <col min="14110" max="14110" width="2" customWidth="1"/>
    <col min="14111" max="14111" width="10.140625" customWidth="1"/>
    <col min="14112" max="14112" width="13.7109375" customWidth="1"/>
    <col min="14113" max="14113" width="16.5703125" customWidth="1"/>
    <col min="14114" max="14114" width="16" customWidth="1"/>
    <col min="14115" max="14324" width="9.42578125" customWidth="1"/>
    <col min="14325" max="14325" width="7.140625" customWidth="1"/>
    <col min="14326" max="14326" width="35.28515625" customWidth="1"/>
    <col min="14327" max="14327" width="6.7109375" customWidth="1"/>
    <col min="14328" max="14328" width="5.7109375" customWidth="1"/>
    <col min="14329" max="14329" width="5.85546875" customWidth="1"/>
    <col min="14330" max="14330" width="7.85546875" customWidth="1"/>
    <col min="14337" max="14337" width="7.140625" customWidth="1"/>
    <col min="14338" max="14338" width="39.42578125" customWidth="1"/>
    <col min="14339" max="14339" width="6.7109375" customWidth="1"/>
    <col min="14340" max="14340" width="5.7109375" customWidth="1"/>
    <col min="14341" max="14341" width="5.85546875" customWidth="1"/>
    <col min="14342" max="14342" width="7.85546875" customWidth="1"/>
    <col min="14343" max="14343" width="14.28515625" customWidth="1"/>
    <col min="14344" max="14344" width="14" customWidth="1"/>
    <col min="14345" max="14359" width="0" hidden="1" customWidth="1"/>
    <col min="14360" max="14360" width="11.5703125" customWidth="1"/>
    <col min="14361" max="14361" width="11.85546875" customWidth="1"/>
    <col min="14362" max="14362" width="15.7109375" customWidth="1"/>
    <col min="14363" max="14363" width="1.5703125" customWidth="1"/>
    <col min="14364" max="14364" width="10.5703125" customWidth="1"/>
    <col min="14365" max="14365" width="20.7109375" customWidth="1"/>
    <col min="14366" max="14366" width="2" customWidth="1"/>
    <col min="14367" max="14367" width="10.140625" customWidth="1"/>
    <col min="14368" max="14368" width="13.7109375" customWidth="1"/>
    <col min="14369" max="14369" width="16.5703125" customWidth="1"/>
    <col min="14370" max="14370" width="16" customWidth="1"/>
    <col min="14371" max="14580" width="9.42578125" customWidth="1"/>
    <col min="14581" max="14581" width="7.140625" customWidth="1"/>
    <col min="14582" max="14582" width="35.28515625" customWidth="1"/>
    <col min="14583" max="14583" width="6.7109375" customWidth="1"/>
    <col min="14584" max="14584" width="5.7109375" customWidth="1"/>
    <col min="14585" max="14585" width="5.85546875" customWidth="1"/>
    <col min="14586" max="14586" width="7.85546875" customWidth="1"/>
    <col min="14593" max="14593" width="7.140625" customWidth="1"/>
    <col min="14594" max="14594" width="39.42578125" customWidth="1"/>
    <col min="14595" max="14595" width="6.7109375" customWidth="1"/>
    <col min="14596" max="14596" width="5.7109375" customWidth="1"/>
    <col min="14597" max="14597" width="5.85546875" customWidth="1"/>
    <col min="14598" max="14598" width="7.85546875" customWidth="1"/>
    <col min="14599" max="14599" width="14.28515625" customWidth="1"/>
    <col min="14600" max="14600" width="14" customWidth="1"/>
    <col min="14601" max="14615" width="0" hidden="1" customWidth="1"/>
    <col min="14616" max="14616" width="11.5703125" customWidth="1"/>
    <col min="14617" max="14617" width="11.85546875" customWidth="1"/>
    <col min="14618" max="14618" width="15.7109375" customWidth="1"/>
    <col min="14619" max="14619" width="1.5703125" customWidth="1"/>
    <col min="14620" max="14620" width="10.5703125" customWidth="1"/>
    <col min="14621" max="14621" width="20.7109375" customWidth="1"/>
    <col min="14622" max="14622" width="2" customWidth="1"/>
    <col min="14623" max="14623" width="10.140625" customWidth="1"/>
    <col min="14624" max="14624" width="13.7109375" customWidth="1"/>
    <col min="14625" max="14625" width="16.5703125" customWidth="1"/>
    <col min="14626" max="14626" width="16" customWidth="1"/>
    <col min="14627" max="14836" width="9.42578125" customWidth="1"/>
    <col min="14837" max="14837" width="7.140625" customWidth="1"/>
    <col min="14838" max="14838" width="35.28515625" customWidth="1"/>
    <col min="14839" max="14839" width="6.7109375" customWidth="1"/>
    <col min="14840" max="14840" width="5.7109375" customWidth="1"/>
    <col min="14841" max="14841" width="5.85546875" customWidth="1"/>
    <col min="14842" max="14842" width="7.85546875" customWidth="1"/>
    <col min="14849" max="14849" width="7.140625" customWidth="1"/>
    <col min="14850" max="14850" width="39.42578125" customWidth="1"/>
    <col min="14851" max="14851" width="6.7109375" customWidth="1"/>
    <col min="14852" max="14852" width="5.7109375" customWidth="1"/>
    <col min="14853" max="14853" width="5.85546875" customWidth="1"/>
    <col min="14854" max="14854" width="7.85546875" customWidth="1"/>
    <col min="14855" max="14855" width="14.28515625" customWidth="1"/>
    <col min="14856" max="14856" width="14" customWidth="1"/>
    <col min="14857" max="14871" width="0" hidden="1" customWidth="1"/>
    <col min="14872" max="14872" width="11.5703125" customWidth="1"/>
    <col min="14873" max="14873" width="11.85546875" customWidth="1"/>
    <col min="14874" max="14874" width="15.7109375" customWidth="1"/>
    <col min="14875" max="14875" width="1.5703125" customWidth="1"/>
    <col min="14876" max="14876" width="10.5703125" customWidth="1"/>
    <col min="14877" max="14877" width="20.7109375" customWidth="1"/>
    <col min="14878" max="14878" width="2" customWidth="1"/>
    <col min="14879" max="14879" width="10.140625" customWidth="1"/>
    <col min="14880" max="14880" width="13.7109375" customWidth="1"/>
    <col min="14881" max="14881" width="16.5703125" customWidth="1"/>
    <col min="14882" max="14882" width="16" customWidth="1"/>
    <col min="14883" max="15092" width="9.42578125" customWidth="1"/>
    <col min="15093" max="15093" width="7.140625" customWidth="1"/>
    <col min="15094" max="15094" width="35.28515625" customWidth="1"/>
    <col min="15095" max="15095" width="6.7109375" customWidth="1"/>
    <col min="15096" max="15096" width="5.7109375" customWidth="1"/>
    <col min="15097" max="15097" width="5.85546875" customWidth="1"/>
    <col min="15098" max="15098" width="7.85546875" customWidth="1"/>
    <col min="15105" max="15105" width="7.140625" customWidth="1"/>
    <col min="15106" max="15106" width="39.42578125" customWidth="1"/>
    <col min="15107" max="15107" width="6.7109375" customWidth="1"/>
    <col min="15108" max="15108" width="5.7109375" customWidth="1"/>
    <col min="15109" max="15109" width="5.85546875" customWidth="1"/>
    <col min="15110" max="15110" width="7.85546875" customWidth="1"/>
    <col min="15111" max="15111" width="14.28515625" customWidth="1"/>
    <col min="15112" max="15112" width="14" customWidth="1"/>
    <col min="15113" max="15127" width="0" hidden="1" customWidth="1"/>
    <col min="15128" max="15128" width="11.5703125" customWidth="1"/>
    <col min="15129" max="15129" width="11.85546875" customWidth="1"/>
    <col min="15130" max="15130" width="15.7109375" customWidth="1"/>
    <col min="15131" max="15131" width="1.5703125" customWidth="1"/>
    <col min="15132" max="15132" width="10.5703125" customWidth="1"/>
    <col min="15133" max="15133" width="20.7109375" customWidth="1"/>
    <col min="15134" max="15134" width="2" customWidth="1"/>
    <col min="15135" max="15135" width="10.140625" customWidth="1"/>
    <col min="15136" max="15136" width="13.7109375" customWidth="1"/>
    <col min="15137" max="15137" width="16.5703125" customWidth="1"/>
    <col min="15138" max="15138" width="16" customWidth="1"/>
    <col min="15139" max="15348" width="9.42578125" customWidth="1"/>
    <col min="15349" max="15349" width="7.140625" customWidth="1"/>
    <col min="15350" max="15350" width="35.28515625" customWidth="1"/>
    <col min="15351" max="15351" width="6.7109375" customWidth="1"/>
    <col min="15352" max="15352" width="5.7109375" customWidth="1"/>
    <col min="15353" max="15353" width="5.85546875" customWidth="1"/>
    <col min="15354" max="15354" width="7.85546875" customWidth="1"/>
    <col min="15361" max="15361" width="7.140625" customWidth="1"/>
    <col min="15362" max="15362" width="39.42578125" customWidth="1"/>
    <col min="15363" max="15363" width="6.7109375" customWidth="1"/>
    <col min="15364" max="15364" width="5.7109375" customWidth="1"/>
    <col min="15365" max="15365" width="5.85546875" customWidth="1"/>
    <col min="15366" max="15366" width="7.85546875" customWidth="1"/>
    <col min="15367" max="15367" width="14.28515625" customWidth="1"/>
    <col min="15368" max="15368" width="14" customWidth="1"/>
    <col min="15369" max="15383" width="0" hidden="1" customWidth="1"/>
    <col min="15384" max="15384" width="11.5703125" customWidth="1"/>
    <col min="15385" max="15385" width="11.85546875" customWidth="1"/>
    <col min="15386" max="15386" width="15.7109375" customWidth="1"/>
    <col min="15387" max="15387" width="1.5703125" customWidth="1"/>
    <col min="15388" max="15388" width="10.5703125" customWidth="1"/>
    <col min="15389" max="15389" width="20.7109375" customWidth="1"/>
    <col min="15390" max="15390" width="2" customWidth="1"/>
    <col min="15391" max="15391" width="10.140625" customWidth="1"/>
    <col min="15392" max="15392" width="13.7109375" customWidth="1"/>
    <col min="15393" max="15393" width="16.5703125" customWidth="1"/>
    <col min="15394" max="15394" width="16" customWidth="1"/>
    <col min="15395" max="15604" width="9.42578125" customWidth="1"/>
    <col min="15605" max="15605" width="7.140625" customWidth="1"/>
    <col min="15606" max="15606" width="35.28515625" customWidth="1"/>
    <col min="15607" max="15607" width="6.7109375" customWidth="1"/>
    <col min="15608" max="15608" width="5.7109375" customWidth="1"/>
    <col min="15609" max="15609" width="5.85546875" customWidth="1"/>
    <col min="15610" max="15610" width="7.85546875" customWidth="1"/>
    <col min="15617" max="15617" width="7.140625" customWidth="1"/>
    <col min="15618" max="15618" width="39.42578125" customWidth="1"/>
    <col min="15619" max="15619" width="6.7109375" customWidth="1"/>
    <col min="15620" max="15620" width="5.7109375" customWidth="1"/>
    <col min="15621" max="15621" width="5.85546875" customWidth="1"/>
    <col min="15622" max="15622" width="7.85546875" customWidth="1"/>
    <col min="15623" max="15623" width="14.28515625" customWidth="1"/>
    <col min="15624" max="15624" width="14" customWidth="1"/>
    <col min="15625" max="15639" width="0" hidden="1" customWidth="1"/>
    <col min="15640" max="15640" width="11.5703125" customWidth="1"/>
    <col min="15641" max="15641" width="11.85546875" customWidth="1"/>
    <col min="15642" max="15642" width="15.7109375" customWidth="1"/>
    <col min="15643" max="15643" width="1.5703125" customWidth="1"/>
    <col min="15644" max="15644" width="10.5703125" customWidth="1"/>
    <col min="15645" max="15645" width="20.7109375" customWidth="1"/>
    <col min="15646" max="15646" width="2" customWidth="1"/>
    <col min="15647" max="15647" width="10.140625" customWidth="1"/>
    <col min="15648" max="15648" width="13.7109375" customWidth="1"/>
    <col min="15649" max="15649" width="16.5703125" customWidth="1"/>
    <col min="15650" max="15650" width="16" customWidth="1"/>
    <col min="15651" max="15860" width="9.42578125" customWidth="1"/>
    <col min="15861" max="15861" width="7.140625" customWidth="1"/>
    <col min="15862" max="15862" width="35.28515625" customWidth="1"/>
    <col min="15863" max="15863" width="6.7109375" customWidth="1"/>
    <col min="15864" max="15864" width="5.7109375" customWidth="1"/>
    <col min="15865" max="15865" width="5.85546875" customWidth="1"/>
    <col min="15866" max="15866" width="7.85546875" customWidth="1"/>
    <col min="15873" max="15873" width="7.140625" customWidth="1"/>
    <col min="15874" max="15874" width="39.42578125" customWidth="1"/>
    <col min="15875" max="15875" width="6.7109375" customWidth="1"/>
    <col min="15876" max="15876" width="5.7109375" customWidth="1"/>
    <col min="15877" max="15877" width="5.85546875" customWidth="1"/>
    <col min="15878" max="15878" width="7.85546875" customWidth="1"/>
    <col min="15879" max="15879" width="14.28515625" customWidth="1"/>
    <col min="15880" max="15880" width="14" customWidth="1"/>
    <col min="15881" max="15895" width="0" hidden="1" customWidth="1"/>
    <col min="15896" max="15896" width="11.5703125" customWidth="1"/>
    <col min="15897" max="15897" width="11.85546875" customWidth="1"/>
    <col min="15898" max="15898" width="15.7109375" customWidth="1"/>
    <col min="15899" max="15899" width="1.5703125" customWidth="1"/>
    <col min="15900" max="15900" width="10.5703125" customWidth="1"/>
    <col min="15901" max="15901" width="20.7109375" customWidth="1"/>
    <col min="15902" max="15902" width="2" customWidth="1"/>
    <col min="15903" max="15903" width="10.140625" customWidth="1"/>
    <col min="15904" max="15904" width="13.7109375" customWidth="1"/>
    <col min="15905" max="15905" width="16.5703125" customWidth="1"/>
    <col min="15906" max="15906" width="16" customWidth="1"/>
    <col min="15907" max="16116" width="9.42578125" customWidth="1"/>
    <col min="16117" max="16117" width="7.140625" customWidth="1"/>
    <col min="16118" max="16118" width="35.28515625" customWidth="1"/>
    <col min="16119" max="16119" width="6.7109375" customWidth="1"/>
    <col min="16120" max="16120" width="5.7109375" customWidth="1"/>
    <col min="16121" max="16121" width="5.85546875" customWidth="1"/>
    <col min="16122" max="16122" width="7.85546875" customWidth="1"/>
    <col min="16129" max="16129" width="7.140625" customWidth="1"/>
    <col min="16130" max="16130" width="39.42578125" customWidth="1"/>
    <col min="16131" max="16131" width="6.7109375" customWidth="1"/>
    <col min="16132" max="16132" width="5.7109375" customWidth="1"/>
    <col min="16133" max="16133" width="5.85546875" customWidth="1"/>
    <col min="16134" max="16134" width="7.85546875" customWidth="1"/>
    <col min="16135" max="16135" width="14.28515625" customWidth="1"/>
    <col min="16136" max="16136" width="14" customWidth="1"/>
    <col min="16137" max="16151" width="0" hidden="1" customWidth="1"/>
    <col min="16152" max="16152" width="11.5703125" customWidth="1"/>
    <col min="16153" max="16153" width="11.85546875" customWidth="1"/>
    <col min="16154" max="16154" width="15.7109375" customWidth="1"/>
    <col min="16155" max="16155" width="1.5703125" customWidth="1"/>
    <col min="16156" max="16156" width="10.5703125" customWidth="1"/>
    <col min="16157" max="16157" width="20.7109375" customWidth="1"/>
    <col min="16158" max="16158" width="2" customWidth="1"/>
    <col min="16159" max="16159" width="10.140625" customWidth="1"/>
    <col min="16160" max="16160" width="13.7109375" customWidth="1"/>
    <col min="16161" max="16161" width="16.5703125" customWidth="1"/>
    <col min="16162" max="16162" width="16" customWidth="1"/>
    <col min="16163" max="16372" width="9.42578125" customWidth="1"/>
    <col min="16373" max="16373" width="7.140625" customWidth="1"/>
    <col min="16374" max="16374" width="35.28515625" customWidth="1"/>
    <col min="16375" max="16375" width="6.7109375" customWidth="1"/>
    <col min="16376" max="16376" width="5.7109375" customWidth="1"/>
    <col min="16377" max="16377" width="5.85546875" customWidth="1"/>
    <col min="16378" max="16378" width="7.85546875" customWidth="1"/>
  </cols>
  <sheetData>
    <row r="2" spans="1:29" ht="15.75" x14ac:dyDescent="0.25">
      <c r="A2" s="1" t="s">
        <v>113</v>
      </c>
      <c r="B2" s="1"/>
      <c r="C2" s="2"/>
      <c r="D2" s="2"/>
      <c r="E2" s="2"/>
      <c r="F2" s="281"/>
      <c r="G2" s="282"/>
    </row>
    <row r="3" spans="1:29" ht="15.75" x14ac:dyDescent="0.25">
      <c r="A3" s="5" t="s">
        <v>114</v>
      </c>
      <c r="B3" s="5"/>
      <c r="C3" s="5"/>
      <c r="D3" s="2"/>
      <c r="E3" s="2"/>
      <c r="F3" s="281"/>
      <c r="G3" s="281"/>
      <c r="K3" s="6"/>
      <c r="Q3" s="6"/>
      <c r="T3" s="6"/>
      <c r="AB3" s="7"/>
      <c r="AC3" s="7"/>
    </row>
    <row r="4" spans="1:29" ht="15.75" thickBot="1" x14ac:dyDescent="0.3">
      <c r="AB4" s="7"/>
      <c r="AC4" s="7"/>
    </row>
    <row r="5" spans="1:29" ht="19.5" thickBot="1" x14ac:dyDescent="0.3">
      <c r="A5" s="8" t="s">
        <v>0</v>
      </c>
      <c r="B5" s="8" t="s">
        <v>1</v>
      </c>
      <c r="C5" s="336" t="s">
        <v>2</v>
      </c>
      <c r="D5" s="337"/>
      <c r="E5" s="338"/>
      <c r="F5" s="342" t="s">
        <v>3</v>
      </c>
      <c r="G5" s="342"/>
      <c r="H5" s="342"/>
      <c r="I5" s="9"/>
      <c r="J5" s="343" t="s">
        <v>115</v>
      </c>
      <c r="K5" s="344"/>
      <c r="L5" s="9"/>
      <c r="M5" s="362" t="s">
        <v>5</v>
      </c>
      <c r="N5" s="363"/>
    </row>
    <row r="6" spans="1:29" ht="15.75" thickBot="1" x14ac:dyDescent="0.3">
      <c r="A6" s="248"/>
      <c r="B6" s="248"/>
      <c r="C6" s="339"/>
      <c r="D6" s="340"/>
      <c r="E6" s="341"/>
      <c r="F6" s="335" t="s">
        <v>116</v>
      </c>
      <c r="G6" s="335"/>
      <c r="H6" s="335"/>
      <c r="I6" s="9"/>
      <c r="J6" s="345"/>
      <c r="K6" s="346"/>
      <c r="L6" s="9"/>
      <c r="M6" s="364"/>
      <c r="N6" s="365"/>
    </row>
    <row r="7" spans="1:29" ht="30.75" thickBot="1" x14ac:dyDescent="0.3">
      <c r="A7" s="10"/>
      <c r="B7" s="10"/>
      <c r="C7" s="11" t="s">
        <v>6</v>
      </c>
      <c r="D7" s="12" t="s">
        <v>7</v>
      </c>
      <c r="E7" s="272" t="s">
        <v>8</v>
      </c>
      <c r="F7" s="16" t="s">
        <v>9</v>
      </c>
      <c r="G7" s="17" t="s">
        <v>10</v>
      </c>
      <c r="H7" s="15" t="s">
        <v>11</v>
      </c>
      <c r="I7" s="18"/>
      <c r="J7" s="19" t="s">
        <v>10</v>
      </c>
      <c r="K7" s="15" t="s">
        <v>11</v>
      </c>
      <c r="L7" s="20"/>
      <c r="M7" s="21" t="s">
        <v>12</v>
      </c>
      <c r="N7" s="15" t="s">
        <v>13</v>
      </c>
    </row>
    <row r="8" spans="1:29" x14ac:dyDescent="0.25">
      <c r="A8" s="22"/>
      <c r="B8" s="23"/>
      <c r="C8" s="24"/>
      <c r="D8" s="25"/>
      <c r="E8" s="26"/>
      <c r="F8" s="284"/>
      <c r="G8" s="285"/>
      <c r="H8" s="30"/>
      <c r="J8" s="24"/>
      <c r="K8" s="31"/>
      <c r="L8"/>
      <c r="M8" s="23"/>
      <c r="N8" s="30"/>
    </row>
    <row r="9" spans="1:29" x14ac:dyDescent="0.25">
      <c r="A9" s="32">
        <v>1</v>
      </c>
      <c r="B9" s="33" t="s">
        <v>14</v>
      </c>
      <c r="C9" s="34">
        <v>2</v>
      </c>
      <c r="D9" s="35">
        <v>1</v>
      </c>
      <c r="E9" s="36">
        <f t="shared" ref="E9:E28" si="0">C9+D9</f>
        <v>3</v>
      </c>
      <c r="F9" s="286">
        <f>1+1</f>
        <v>2</v>
      </c>
      <c r="G9" s="287">
        <f>4+9.5</f>
        <v>13.5</v>
      </c>
      <c r="H9" s="39">
        <f>147803+488854</f>
        <v>636657</v>
      </c>
      <c r="J9" s="40">
        <v>42</v>
      </c>
      <c r="K9" s="41">
        <v>1547221.9421965319</v>
      </c>
      <c r="L9"/>
      <c r="M9" s="42">
        <f t="shared" ref="M9:N15" si="1">G9/J9</f>
        <v>0.32142857142857145</v>
      </c>
      <c r="N9" s="43">
        <f t="shared" si="1"/>
        <v>0.41148395239028368</v>
      </c>
    </row>
    <row r="10" spans="1:29" x14ac:dyDescent="0.25">
      <c r="A10" s="32">
        <f>A9+1</f>
        <v>2</v>
      </c>
      <c r="B10" s="33" t="s">
        <v>15</v>
      </c>
      <c r="C10" s="34">
        <v>6</v>
      </c>
      <c r="D10" s="35"/>
      <c r="E10" s="36">
        <f t="shared" si="0"/>
        <v>6</v>
      </c>
      <c r="F10" s="286">
        <f>3</f>
        <v>3</v>
      </c>
      <c r="G10" s="287">
        <f>54.5</f>
        <v>54.5</v>
      </c>
      <c r="H10" s="39">
        <f>2902108</f>
        <v>2902108</v>
      </c>
      <c r="J10" s="40">
        <v>42</v>
      </c>
      <c r="K10" s="41">
        <v>1617545.3410404625</v>
      </c>
      <c r="L10"/>
      <c r="M10" s="42">
        <f t="shared" si="1"/>
        <v>1.2976190476190477</v>
      </c>
      <c r="N10" s="43">
        <f t="shared" si="1"/>
        <v>1.7941432158762618</v>
      </c>
    </row>
    <row r="11" spans="1:29" x14ac:dyDescent="0.25">
      <c r="A11" s="32">
        <f t="shared" ref="A11:A28" si="2">A10+1</f>
        <v>3</v>
      </c>
      <c r="B11" s="33" t="s">
        <v>16</v>
      </c>
      <c r="C11" s="34">
        <v>8</v>
      </c>
      <c r="D11" s="35">
        <v>4</v>
      </c>
      <c r="E11" s="36">
        <f t="shared" si="0"/>
        <v>12</v>
      </c>
      <c r="F11" s="286">
        <f>3+4</f>
        <v>7</v>
      </c>
      <c r="G11" s="287">
        <f>22+57.5</f>
        <v>79.5</v>
      </c>
      <c r="H11" s="39">
        <f>817843+2854050</f>
        <v>3671893</v>
      </c>
      <c r="J11" s="40">
        <v>42</v>
      </c>
      <c r="K11" s="41">
        <v>1607321.549132948</v>
      </c>
      <c r="L11"/>
      <c r="M11" s="42">
        <f t="shared" si="1"/>
        <v>1.8928571428571428</v>
      </c>
      <c r="N11" s="43">
        <f t="shared" si="1"/>
        <v>2.2844794198029401</v>
      </c>
    </row>
    <row r="12" spans="1:29" x14ac:dyDescent="0.25">
      <c r="A12" s="32">
        <f t="shared" si="2"/>
        <v>4</v>
      </c>
      <c r="B12" s="44" t="s">
        <v>17</v>
      </c>
      <c r="C12" s="45">
        <v>3</v>
      </c>
      <c r="D12" s="46">
        <v>7</v>
      </c>
      <c r="E12" s="36">
        <f t="shared" si="0"/>
        <v>10</v>
      </c>
      <c r="F12" s="286">
        <f>5+1</f>
        <v>6</v>
      </c>
      <c r="G12" s="288">
        <f>88+6.5</f>
        <v>94.5</v>
      </c>
      <c r="H12" s="39">
        <f>4331475+346476</f>
        <v>4677951</v>
      </c>
      <c r="J12" s="40"/>
      <c r="K12" s="41"/>
      <c r="L12"/>
      <c r="M12" s="42" t="e">
        <f t="shared" si="1"/>
        <v>#DIV/0!</v>
      </c>
      <c r="N12" s="43" t="e">
        <f t="shared" si="1"/>
        <v>#DIV/0!</v>
      </c>
      <c r="P12" s="47"/>
    </row>
    <row r="13" spans="1:29" x14ac:dyDescent="0.25">
      <c r="A13" s="32">
        <f t="shared" si="2"/>
        <v>5</v>
      </c>
      <c r="B13" s="33" t="s">
        <v>18</v>
      </c>
      <c r="C13" s="34"/>
      <c r="D13" s="35"/>
      <c r="E13" s="36">
        <f t="shared" si="0"/>
        <v>0</v>
      </c>
      <c r="F13" s="286"/>
      <c r="G13" s="288"/>
      <c r="H13" s="39"/>
      <c r="J13" s="40"/>
      <c r="K13" s="41"/>
      <c r="L13"/>
      <c r="M13" s="42" t="e">
        <f t="shared" si="1"/>
        <v>#DIV/0!</v>
      </c>
      <c r="N13" s="43" t="e">
        <f t="shared" si="1"/>
        <v>#DIV/0!</v>
      </c>
      <c r="P13" s="47"/>
    </row>
    <row r="14" spans="1:29" x14ac:dyDescent="0.25">
      <c r="A14" s="32">
        <f t="shared" si="2"/>
        <v>6</v>
      </c>
      <c r="B14" s="33" t="s">
        <v>19</v>
      </c>
      <c r="C14" s="34"/>
      <c r="D14" s="35"/>
      <c r="E14" s="36">
        <f t="shared" si="0"/>
        <v>0</v>
      </c>
      <c r="F14" s="286"/>
      <c r="G14" s="288"/>
      <c r="H14" s="39"/>
      <c r="I14" s="48"/>
      <c r="J14" s="40"/>
      <c r="K14" s="41"/>
      <c r="L14" s="48"/>
      <c r="M14" s="42" t="e">
        <f t="shared" si="1"/>
        <v>#DIV/0!</v>
      </c>
      <c r="N14" s="43" t="e">
        <f t="shared" si="1"/>
        <v>#DIV/0!</v>
      </c>
      <c r="P14" s="47"/>
    </row>
    <row r="15" spans="1:29" x14ac:dyDescent="0.25">
      <c r="A15" s="32">
        <f t="shared" si="2"/>
        <v>7</v>
      </c>
      <c r="B15" s="33" t="s">
        <v>20</v>
      </c>
      <c r="C15" s="34"/>
      <c r="D15" s="35"/>
      <c r="E15" s="36">
        <f t="shared" si="0"/>
        <v>0</v>
      </c>
      <c r="F15" s="286"/>
      <c r="G15" s="288"/>
      <c r="H15" s="39"/>
      <c r="I15" s="48"/>
      <c r="J15" s="40"/>
      <c r="K15" s="41"/>
      <c r="L15" s="48"/>
      <c r="M15" s="42" t="e">
        <f t="shared" si="1"/>
        <v>#DIV/0!</v>
      </c>
      <c r="N15" s="43" t="e">
        <f t="shared" si="1"/>
        <v>#DIV/0!</v>
      </c>
      <c r="P15" s="47"/>
    </row>
    <row r="16" spans="1:29" x14ac:dyDescent="0.25">
      <c r="A16" s="32">
        <f t="shared" si="2"/>
        <v>8</v>
      </c>
      <c r="B16" s="33" t="s">
        <v>21</v>
      </c>
      <c r="C16" s="34">
        <v>4</v>
      </c>
      <c r="D16" s="35">
        <v>1</v>
      </c>
      <c r="E16" s="36">
        <f t="shared" si="0"/>
        <v>5</v>
      </c>
      <c r="F16" s="286">
        <f>1+3</f>
        <v>4</v>
      </c>
      <c r="G16" s="288">
        <f>22+61.5</f>
        <v>83.5</v>
      </c>
      <c r="H16" s="39">
        <f>1119952+3296124</f>
        <v>4416076</v>
      </c>
      <c r="I16" s="48"/>
      <c r="J16" s="40">
        <v>30</v>
      </c>
      <c r="K16" s="41">
        <v>1173732.0346820811</v>
      </c>
      <c r="L16" s="48"/>
      <c r="M16" s="49">
        <f>(G16+G17)/J16</f>
        <v>2.7833333333333332</v>
      </c>
      <c r="N16" s="50">
        <f>(H16+H17)/K16</f>
        <v>3.7624226565445538</v>
      </c>
      <c r="P16" s="47"/>
    </row>
    <row r="17" spans="1:14" x14ac:dyDescent="0.25">
      <c r="A17" s="32">
        <f t="shared" si="2"/>
        <v>9</v>
      </c>
      <c r="B17" s="33" t="s">
        <v>22</v>
      </c>
      <c r="C17" s="34"/>
      <c r="D17" s="35"/>
      <c r="E17" s="36">
        <f t="shared" si="0"/>
        <v>0</v>
      </c>
      <c r="F17" s="286"/>
      <c r="G17" s="288"/>
      <c r="H17" s="39"/>
      <c r="I17" s="48"/>
      <c r="J17" s="40"/>
      <c r="K17" s="41"/>
      <c r="L17" s="48"/>
      <c r="M17" s="42"/>
      <c r="N17" s="43"/>
    </row>
    <row r="18" spans="1:14" x14ac:dyDescent="0.25">
      <c r="A18" s="32">
        <f t="shared" si="2"/>
        <v>10</v>
      </c>
      <c r="B18" s="33" t="s">
        <v>23</v>
      </c>
      <c r="C18" s="34">
        <v>11</v>
      </c>
      <c r="D18" s="35">
        <v>1</v>
      </c>
      <c r="E18" s="36">
        <f t="shared" si="0"/>
        <v>12</v>
      </c>
      <c r="F18" s="286">
        <f>5</f>
        <v>5</v>
      </c>
      <c r="G18" s="287">
        <f>35.5</f>
        <v>35.5</v>
      </c>
      <c r="H18" s="39">
        <f>1820481</f>
        <v>1820481</v>
      </c>
      <c r="I18" s="48"/>
      <c r="J18" s="40">
        <v>60</v>
      </c>
      <c r="K18" s="41">
        <v>2211607.6647398844</v>
      </c>
      <c r="L18" s="48"/>
      <c r="M18" s="42">
        <f t="shared" ref="M18:N27" si="3">G18/J18</f>
        <v>0.59166666666666667</v>
      </c>
      <c r="N18" s="43">
        <f t="shared" si="3"/>
        <v>0.8231482595327837</v>
      </c>
    </row>
    <row r="19" spans="1:14" x14ac:dyDescent="0.25">
      <c r="A19" s="32">
        <f t="shared" si="2"/>
        <v>11</v>
      </c>
      <c r="B19" s="33" t="s">
        <v>24</v>
      </c>
      <c r="C19" s="34">
        <v>7</v>
      </c>
      <c r="D19" s="35">
        <v>1</v>
      </c>
      <c r="E19" s="36">
        <f t="shared" si="0"/>
        <v>8</v>
      </c>
      <c r="F19" s="286">
        <f>1+4</f>
        <v>5</v>
      </c>
      <c r="G19" s="288">
        <f>14+18</f>
        <v>32</v>
      </c>
      <c r="H19" s="39">
        <f>551796+904576</f>
        <v>1456372</v>
      </c>
      <c r="I19" s="48"/>
      <c r="J19" s="40">
        <v>66</v>
      </c>
      <c r="K19" s="41">
        <v>2440507.0057803467</v>
      </c>
      <c r="L19" s="48"/>
      <c r="M19" s="42">
        <f t="shared" si="3"/>
        <v>0.48484848484848486</v>
      </c>
      <c r="N19" s="43">
        <f t="shared" si="3"/>
        <v>0.59674977230164861</v>
      </c>
    </row>
    <row r="20" spans="1:14" s="48" customFormat="1" x14ac:dyDescent="0.25">
      <c r="A20" s="32">
        <f t="shared" si="2"/>
        <v>12</v>
      </c>
      <c r="B20" s="52" t="s">
        <v>25</v>
      </c>
      <c r="C20" s="53">
        <v>5</v>
      </c>
      <c r="D20" s="54"/>
      <c r="E20" s="55">
        <f t="shared" si="0"/>
        <v>5</v>
      </c>
      <c r="F20" s="289">
        <f>2</f>
        <v>2</v>
      </c>
      <c r="G20" s="290">
        <f>8</f>
        <v>8</v>
      </c>
      <c r="H20" s="56">
        <f>423348</f>
        <v>423348</v>
      </c>
      <c r="J20" s="40"/>
      <c r="K20" s="41"/>
      <c r="M20" s="42" t="e">
        <f t="shared" si="3"/>
        <v>#DIV/0!</v>
      </c>
      <c r="N20" s="43" t="e">
        <f t="shared" si="3"/>
        <v>#DIV/0!</v>
      </c>
    </row>
    <row r="21" spans="1:14" x14ac:dyDescent="0.25">
      <c r="A21" s="32">
        <f t="shared" si="2"/>
        <v>13</v>
      </c>
      <c r="B21" s="33" t="s">
        <v>26</v>
      </c>
      <c r="C21" s="34">
        <v>9</v>
      </c>
      <c r="D21" s="35">
        <v>4</v>
      </c>
      <c r="E21" s="36">
        <f t="shared" si="0"/>
        <v>13</v>
      </c>
      <c r="F21" s="286">
        <f>4+8</f>
        <v>12</v>
      </c>
      <c r="G21" s="288">
        <f>31+135</f>
        <v>166</v>
      </c>
      <c r="H21" s="39">
        <f>1243594+6840275</f>
        <v>8083869</v>
      </c>
      <c r="I21" s="48"/>
      <c r="J21" s="40">
        <v>42</v>
      </c>
      <c r="K21" s="41">
        <v>1607321.549132948</v>
      </c>
      <c r="L21" s="48"/>
      <c r="M21" s="42">
        <f t="shared" si="3"/>
        <v>3.9523809523809526</v>
      </c>
      <c r="N21" s="43">
        <f t="shared" si="3"/>
        <v>5.0294037334102528</v>
      </c>
    </row>
    <row r="22" spans="1:14" x14ac:dyDescent="0.25">
      <c r="A22" s="32">
        <f t="shared" si="2"/>
        <v>14</v>
      </c>
      <c r="B22" s="33" t="s">
        <v>27</v>
      </c>
      <c r="C22" s="34">
        <v>3</v>
      </c>
      <c r="D22" s="35">
        <v>2</v>
      </c>
      <c r="E22" s="36">
        <f t="shared" si="0"/>
        <v>5</v>
      </c>
      <c r="F22" s="286">
        <f>2+2</f>
        <v>4</v>
      </c>
      <c r="G22" s="288">
        <f>23+30</f>
        <v>53</v>
      </c>
      <c r="H22" s="39">
        <f>867110+1607650</f>
        <v>2474760</v>
      </c>
      <c r="I22" s="48"/>
      <c r="J22" s="40">
        <v>90</v>
      </c>
      <c r="K22" s="41">
        <v>3444260.462427746</v>
      </c>
      <c r="L22" s="48"/>
      <c r="M22" s="42">
        <f t="shared" si="3"/>
        <v>0.58888888888888891</v>
      </c>
      <c r="N22" s="43">
        <f t="shared" si="3"/>
        <v>0.71851708864538744</v>
      </c>
    </row>
    <row r="23" spans="1:14" x14ac:dyDescent="0.25">
      <c r="A23" s="32">
        <f t="shared" si="2"/>
        <v>15</v>
      </c>
      <c r="B23" s="57" t="s">
        <v>28</v>
      </c>
      <c r="C23" s="34">
        <v>11</v>
      </c>
      <c r="D23" s="35">
        <v>8</v>
      </c>
      <c r="E23" s="36">
        <f t="shared" si="0"/>
        <v>19</v>
      </c>
      <c r="F23" s="286">
        <f>7+10</f>
        <v>17</v>
      </c>
      <c r="G23" s="288">
        <f>148+202</f>
        <v>350</v>
      </c>
      <c r="H23" s="39">
        <f>5537682+10109110</f>
        <v>15646792</v>
      </c>
      <c r="I23" s="48"/>
      <c r="J23" s="40">
        <v>168</v>
      </c>
      <c r="K23" s="41">
        <v>6439509.9884393066</v>
      </c>
      <c r="L23" s="48"/>
      <c r="M23" s="42">
        <f t="shared" si="3"/>
        <v>2.0833333333333335</v>
      </c>
      <c r="N23" s="43">
        <f t="shared" si="3"/>
        <v>2.4298109682398659</v>
      </c>
    </row>
    <row r="24" spans="1:14" x14ac:dyDescent="0.25">
      <c r="A24" s="32">
        <f t="shared" si="2"/>
        <v>16</v>
      </c>
      <c r="B24" s="246" t="s">
        <v>89</v>
      </c>
      <c r="C24" s="34"/>
      <c r="D24" s="35">
        <v>9</v>
      </c>
      <c r="E24" s="36">
        <f t="shared" si="0"/>
        <v>9</v>
      </c>
      <c r="F24" s="286">
        <f>8</f>
        <v>8</v>
      </c>
      <c r="G24" s="288">
        <f>59</f>
        <v>59</v>
      </c>
      <c r="H24" s="39">
        <f>2197337</f>
        <v>2197337</v>
      </c>
      <c r="I24" s="48"/>
      <c r="J24" s="40"/>
      <c r="K24" s="41"/>
      <c r="L24" s="48"/>
      <c r="M24" s="42" t="e">
        <f t="shared" si="3"/>
        <v>#DIV/0!</v>
      </c>
      <c r="N24" s="43" t="e">
        <f t="shared" si="3"/>
        <v>#DIV/0!</v>
      </c>
    </row>
    <row r="25" spans="1:14" x14ac:dyDescent="0.25">
      <c r="A25" s="32">
        <f t="shared" si="2"/>
        <v>17</v>
      </c>
      <c r="B25" s="33" t="s">
        <v>29</v>
      </c>
      <c r="C25" s="34">
        <v>16</v>
      </c>
      <c r="D25" s="35">
        <v>4</v>
      </c>
      <c r="E25" s="36">
        <f t="shared" si="0"/>
        <v>20</v>
      </c>
      <c r="F25" s="286">
        <f>4+15</f>
        <v>19</v>
      </c>
      <c r="G25" s="288">
        <f>57+176</f>
        <v>233</v>
      </c>
      <c r="H25" s="39">
        <f>2247289+7980468</f>
        <v>10227757</v>
      </c>
      <c r="J25" s="58">
        <v>400</v>
      </c>
      <c r="K25" s="59">
        <v>18985080.265895955</v>
      </c>
      <c r="L25"/>
      <c r="M25" s="42">
        <f t="shared" si="3"/>
        <v>0.58250000000000002</v>
      </c>
      <c r="N25" s="43">
        <f t="shared" si="3"/>
        <v>0.53872603416761622</v>
      </c>
    </row>
    <row r="26" spans="1:14" x14ac:dyDescent="0.25">
      <c r="A26" s="32">
        <f t="shared" si="2"/>
        <v>18</v>
      </c>
      <c r="B26" s="33" t="s">
        <v>30</v>
      </c>
      <c r="C26" s="34">
        <v>2</v>
      </c>
      <c r="D26" s="35">
        <v>7</v>
      </c>
      <c r="E26" s="36">
        <f t="shared" si="0"/>
        <v>9</v>
      </c>
      <c r="F26" s="286">
        <f>2+2</f>
        <v>4</v>
      </c>
      <c r="G26" s="288">
        <f>8+8</f>
        <v>16</v>
      </c>
      <c r="H26" s="39">
        <f>379058+402117</f>
        <v>781175</v>
      </c>
      <c r="J26" s="40"/>
      <c r="K26" s="41"/>
      <c r="L26"/>
      <c r="M26" s="42" t="e">
        <f t="shared" si="3"/>
        <v>#DIV/0!</v>
      </c>
      <c r="N26" s="43" t="e">
        <f t="shared" si="3"/>
        <v>#DIV/0!</v>
      </c>
    </row>
    <row r="27" spans="1:14" x14ac:dyDescent="0.25">
      <c r="A27" s="32">
        <f t="shared" si="2"/>
        <v>19</v>
      </c>
      <c r="B27" s="33" t="s">
        <v>31</v>
      </c>
      <c r="C27" s="34">
        <v>2</v>
      </c>
      <c r="D27" s="35">
        <v>10</v>
      </c>
      <c r="E27" s="36">
        <f t="shared" si="0"/>
        <v>12</v>
      </c>
      <c r="F27" s="286">
        <f>4+2</f>
        <v>6</v>
      </c>
      <c r="G27" s="288">
        <f>35+28</f>
        <v>63</v>
      </c>
      <c r="H27" s="39">
        <f>1770825+1476020</f>
        <v>3246845</v>
      </c>
      <c r="J27" s="40">
        <v>703</v>
      </c>
      <c r="K27" s="41">
        <v>31647784.971098267</v>
      </c>
      <c r="L27"/>
      <c r="M27" s="42">
        <f t="shared" si="3"/>
        <v>8.9615931721194877E-2</v>
      </c>
      <c r="N27" s="43">
        <f t="shared" si="3"/>
        <v>0.10259311995974187</v>
      </c>
    </row>
    <row r="28" spans="1:14" x14ac:dyDescent="0.25">
      <c r="A28" s="247">
        <f t="shared" si="2"/>
        <v>20</v>
      </c>
      <c r="B28" s="61" t="s">
        <v>32</v>
      </c>
      <c r="C28" s="62">
        <v>25</v>
      </c>
      <c r="D28" s="63">
        <v>10</v>
      </c>
      <c r="E28" s="64">
        <f t="shared" si="0"/>
        <v>35</v>
      </c>
      <c r="F28" s="286"/>
      <c r="G28" s="288"/>
      <c r="H28" s="39"/>
      <c r="J28" s="40">
        <v>690</v>
      </c>
      <c r="K28" s="41">
        <v>33462908.51445087</v>
      </c>
      <c r="L28"/>
      <c r="M28" s="65">
        <f>(G29+G30)/J28</f>
        <v>0.17971014492753623</v>
      </c>
      <c r="N28" s="66">
        <f>(H29+H30)/K28</f>
        <v>0.19875579545417596</v>
      </c>
    </row>
    <row r="29" spans="1:14" x14ac:dyDescent="0.25">
      <c r="A29" s="60"/>
      <c r="B29" s="61" t="s">
        <v>33</v>
      </c>
      <c r="C29" s="34"/>
      <c r="D29" s="35"/>
      <c r="E29" s="36"/>
      <c r="F29" s="286"/>
      <c r="G29" s="288"/>
      <c r="H29" s="39"/>
      <c r="J29" s="67"/>
      <c r="K29" s="68"/>
      <c r="L29"/>
      <c r="M29" s="69"/>
      <c r="N29" s="70"/>
    </row>
    <row r="30" spans="1:14" x14ac:dyDescent="0.25">
      <c r="A30" s="32"/>
      <c r="B30" s="33" t="s">
        <v>34</v>
      </c>
      <c r="C30" s="34"/>
      <c r="D30" s="35">
        <v>9</v>
      </c>
      <c r="E30" s="36"/>
      <c r="F30" s="286">
        <f>4+11+3</f>
        <v>18</v>
      </c>
      <c r="G30" s="288">
        <f>25+78+21</f>
        <v>124</v>
      </c>
      <c r="H30" s="39">
        <f>1265303+4303388+1082256</f>
        <v>6650947</v>
      </c>
      <c r="J30" s="40"/>
      <c r="K30" s="41"/>
      <c r="L30"/>
      <c r="M30" s="42"/>
      <c r="N30" s="43"/>
    </row>
    <row r="31" spans="1:14" x14ac:dyDescent="0.25">
      <c r="A31" s="32">
        <v>21</v>
      </c>
      <c r="B31" s="33" t="s">
        <v>35</v>
      </c>
      <c r="C31" s="34">
        <v>2</v>
      </c>
      <c r="D31" s="35">
        <v>3</v>
      </c>
      <c r="E31" s="36">
        <f t="shared" ref="E31:E41" si="4">C31+D31</f>
        <v>5</v>
      </c>
      <c r="F31" s="286">
        <f>1+2</f>
        <v>3</v>
      </c>
      <c r="G31" s="288">
        <f>14+28</f>
        <v>42</v>
      </c>
      <c r="H31" s="39">
        <f>706552+1498280</f>
        <v>2204832</v>
      </c>
      <c r="J31" s="40">
        <v>30</v>
      </c>
      <c r="K31" s="41">
        <v>1158310.612716763</v>
      </c>
      <c r="L31"/>
      <c r="M31" s="42">
        <f>G31/J31</f>
        <v>1.4</v>
      </c>
      <c r="N31" s="43">
        <f>H31/K31</f>
        <v>1.9034894231251756</v>
      </c>
    </row>
    <row r="32" spans="1:14" x14ac:dyDescent="0.25">
      <c r="A32" s="60">
        <f t="shared" ref="A32:A41" si="5">A31+1</f>
        <v>22</v>
      </c>
      <c r="B32" s="61" t="s">
        <v>36</v>
      </c>
      <c r="C32" s="62">
        <v>8</v>
      </c>
      <c r="D32" s="63"/>
      <c r="E32" s="64">
        <f t="shared" si="4"/>
        <v>8</v>
      </c>
      <c r="F32" s="286">
        <f>6</f>
        <v>6</v>
      </c>
      <c r="G32" s="288">
        <f>77</f>
        <v>77</v>
      </c>
      <c r="H32" s="39">
        <f>4117855</f>
        <v>4117855</v>
      </c>
      <c r="J32" s="40">
        <v>126</v>
      </c>
      <c r="K32" s="41">
        <v>4847609.8612716766</v>
      </c>
      <c r="L32"/>
      <c r="M32" s="73">
        <f>(G32+G33)/J32</f>
        <v>1.8253968253968254</v>
      </c>
      <c r="N32" s="50">
        <f>(H32+H33)/K32</f>
        <v>2.4828425439423931</v>
      </c>
    </row>
    <row r="33" spans="1:14" x14ac:dyDescent="0.25">
      <c r="A33" s="32">
        <f t="shared" si="5"/>
        <v>23</v>
      </c>
      <c r="B33" s="33" t="s">
        <v>37</v>
      </c>
      <c r="C33" s="34">
        <v>9</v>
      </c>
      <c r="D33" s="35">
        <v>3</v>
      </c>
      <c r="E33" s="36">
        <f t="shared" si="4"/>
        <v>12</v>
      </c>
      <c r="F33" s="286">
        <f>4+8</f>
        <v>12</v>
      </c>
      <c r="G33" s="288">
        <f>56+97</f>
        <v>153</v>
      </c>
      <c r="H33" s="39">
        <f>2806279+5111718</f>
        <v>7917997</v>
      </c>
      <c r="J33" s="74"/>
      <c r="K33" s="68"/>
      <c r="L33"/>
      <c r="M33" s="42"/>
      <c r="N33" s="43"/>
    </row>
    <row r="34" spans="1:14" x14ac:dyDescent="0.25">
      <c r="A34" s="32">
        <f t="shared" si="5"/>
        <v>24</v>
      </c>
      <c r="B34" s="33" t="s">
        <v>38</v>
      </c>
      <c r="C34" s="34">
        <v>10</v>
      </c>
      <c r="D34" s="35">
        <v>3</v>
      </c>
      <c r="E34" s="36">
        <f t="shared" si="4"/>
        <v>13</v>
      </c>
      <c r="F34" s="286">
        <f>2+8</f>
        <v>10</v>
      </c>
      <c r="G34" s="288">
        <f>44+149</f>
        <v>193</v>
      </c>
      <c r="H34" s="39">
        <f>2167414+7723031</f>
        <v>9890445</v>
      </c>
      <c r="I34" s="48"/>
      <c r="J34" s="40">
        <v>72</v>
      </c>
      <c r="K34" s="41">
        <v>2787939.1040462428</v>
      </c>
      <c r="L34" s="48"/>
      <c r="M34" s="42">
        <f t="shared" ref="M34:N41" si="6">G34/J34</f>
        <v>2.6805555555555554</v>
      </c>
      <c r="N34" s="43">
        <f t="shared" si="6"/>
        <v>3.5475828670883156</v>
      </c>
    </row>
    <row r="35" spans="1:14" x14ac:dyDescent="0.25">
      <c r="A35" s="32">
        <f t="shared" si="5"/>
        <v>25</v>
      </c>
      <c r="B35" s="33" t="s">
        <v>39</v>
      </c>
      <c r="C35" s="34">
        <v>8</v>
      </c>
      <c r="D35" s="35"/>
      <c r="E35" s="36">
        <f t="shared" si="4"/>
        <v>8</v>
      </c>
      <c r="F35" s="286"/>
      <c r="G35" s="288"/>
      <c r="H35" s="39"/>
      <c r="I35" s="48"/>
      <c r="J35" s="40">
        <v>48</v>
      </c>
      <c r="K35" s="41">
        <v>1847162.7052023122</v>
      </c>
      <c r="L35" s="48"/>
      <c r="M35" s="42">
        <f t="shared" si="6"/>
        <v>0</v>
      </c>
      <c r="N35" s="43">
        <f t="shared" si="6"/>
        <v>0</v>
      </c>
    </row>
    <row r="36" spans="1:14" x14ac:dyDescent="0.25">
      <c r="A36" s="32">
        <f t="shared" si="5"/>
        <v>26</v>
      </c>
      <c r="B36" s="33" t="s">
        <v>40</v>
      </c>
      <c r="C36" s="34">
        <v>1</v>
      </c>
      <c r="D36" s="35">
        <v>1</v>
      </c>
      <c r="E36" s="36">
        <f t="shared" si="4"/>
        <v>2</v>
      </c>
      <c r="F36" s="286">
        <f>1+1</f>
        <v>2</v>
      </c>
      <c r="G36" s="288">
        <f>14+14</f>
        <v>28</v>
      </c>
      <c r="H36" s="39">
        <f>705810+771078</f>
        <v>1476888</v>
      </c>
      <c r="I36" s="48"/>
      <c r="J36" s="40">
        <v>12</v>
      </c>
      <c r="K36" s="41">
        <v>469458.52023121389</v>
      </c>
      <c r="L36" s="48"/>
      <c r="M36" s="42">
        <f t="shared" si="6"/>
        <v>2.3333333333333335</v>
      </c>
      <c r="N36" s="43">
        <f t="shared" si="6"/>
        <v>3.1459392818616116</v>
      </c>
    </row>
    <row r="37" spans="1:14" x14ac:dyDescent="0.25">
      <c r="A37" s="32">
        <f t="shared" si="5"/>
        <v>27</v>
      </c>
      <c r="B37" s="33" t="s">
        <v>41</v>
      </c>
      <c r="C37" s="34">
        <v>4</v>
      </c>
      <c r="D37" s="35"/>
      <c r="E37" s="36">
        <f t="shared" si="4"/>
        <v>4</v>
      </c>
      <c r="F37" s="286">
        <v>3</v>
      </c>
      <c r="G37" s="288">
        <f>21</f>
        <v>21</v>
      </c>
      <c r="H37" s="39">
        <f>1103543</f>
        <v>1103543</v>
      </c>
      <c r="I37" s="48"/>
      <c r="J37" s="58">
        <v>72</v>
      </c>
      <c r="K37" s="59">
        <v>2814200.5317919077</v>
      </c>
      <c r="L37" s="48"/>
      <c r="M37" s="42">
        <f t="shared" si="6"/>
        <v>0.29166666666666669</v>
      </c>
      <c r="N37" s="43">
        <f t="shared" si="6"/>
        <v>0.39213374723418609</v>
      </c>
    </row>
    <row r="38" spans="1:14" x14ac:dyDescent="0.25">
      <c r="A38" s="32">
        <f t="shared" si="5"/>
        <v>28</v>
      </c>
      <c r="B38" s="33" t="s">
        <v>42</v>
      </c>
      <c r="C38" s="34">
        <v>3</v>
      </c>
      <c r="D38" s="35"/>
      <c r="E38" s="36">
        <f t="shared" si="4"/>
        <v>3</v>
      </c>
      <c r="F38" s="286">
        <f>1</f>
        <v>1</v>
      </c>
      <c r="G38" s="288">
        <f>4</f>
        <v>4</v>
      </c>
      <c r="H38" s="39">
        <f>212190</f>
        <v>212190</v>
      </c>
      <c r="J38" s="40">
        <v>36</v>
      </c>
      <c r="K38" s="41">
        <v>1480210.0231213875</v>
      </c>
      <c r="L38"/>
      <c r="M38" s="42">
        <f t="shared" si="6"/>
        <v>0.1111111111111111</v>
      </c>
      <c r="N38" s="43">
        <f t="shared" si="6"/>
        <v>0.14335127899792566</v>
      </c>
    </row>
    <row r="39" spans="1:14" x14ac:dyDescent="0.25">
      <c r="A39" s="32">
        <f t="shared" si="5"/>
        <v>29</v>
      </c>
      <c r="B39" s="44" t="s">
        <v>43</v>
      </c>
      <c r="C39" s="45">
        <v>1</v>
      </c>
      <c r="D39" s="46">
        <v>15</v>
      </c>
      <c r="E39" s="36">
        <f t="shared" si="4"/>
        <v>16</v>
      </c>
      <c r="F39" s="286">
        <f>7+4</f>
        <v>11</v>
      </c>
      <c r="G39" s="287">
        <f>99.5+63</f>
        <v>162.5</v>
      </c>
      <c r="H39" s="39">
        <f>4799362+3259444</f>
        <v>8058806</v>
      </c>
      <c r="J39" s="58"/>
      <c r="K39" s="59"/>
      <c r="L39"/>
      <c r="M39" s="42" t="e">
        <f t="shared" si="6"/>
        <v>#DIV/0!</v>
      </c>
      <c r="N39" s="43" t="e">
        <f t="shared" si="6"/>
        <v>#DIV/0!</v>
      </c>
    </row>
    <row r="40" spans="1:14" x14ac:dyDescent="0.25">
      <c r="A40" s="32">
        <f t="shared" si="5"/>
        <v>30</v>
      </c>
      <c r="B40" s="33" t="s">
        <v>44</v>
      </c>
      <c r="C40" s="34">
        <v>4</v>
      </c>
      <c r="D40" s="35">
        <v>3</v>
      </c>
      <c r="E40" s="36">
        <f t="shared" si="4"/>
        <v>7</v>
      </c>
      <c r="F40" s="286">
        <f>3</f>
        <v>3</v>
      </c>
      <c r="G40" s="288">
        <f>21</f>
        <v>21</v>
      </c>
      <c r="H40" s="39">
        <f>1187228</f>
        <v>1187228</v>
      </c>
      <c r="J40" s="58"/>
      <c r="K40" s="59"/>
      <c r="L40"/>
      <c r="M40" s="42" t="e">
        <f t="shared" si="6"/>
        <v>#DIV/0!</v>
      </c>
      <c r="N40" s="43" t="e">
        <f t="shared" si="6"/>
        <v>#DIV/0!</v>
      </c>
    </row>
    <row r="41" spans="1:14" x14ac:dyDescent="0.25">
      <c r="A41" s="32">
        <f t="shared" si="5"/>
        <v>31</v>
      </c>
      <c r="B41" s="44" t="s">
        <v>45</v>
      </c>
      <c r="C41" s="34">
        <v>1</v>
      </c>
      <c r="D41" s="35"/>
      <c r="E41" s="36">
        <f t="shared" si="4"/>
        <v>1</v>
      </c>
      <c r="F41" s="286"/>
      <c r="G41" s="288"/>
      <c r="H41" s="39"/>
      <c r="J41" s="58"/>
      <c r="K41" s="59"/>
      <c r="L41"/>
      <c r="M41" s="42" t="e">
        <f t="shared" si="6"/>
        <v>#DIV/0!</v>
      </c>
      <c r="N41" s="43" t="e">
        <f t="shared" si="6"/>
        <v>#DIV/0!</v>
      </c>
    </row>
    <row r="42" spans="1:14" ht="15.75" thickBot="1" x14ac:dyDescent="0.3">
      <c r="A42" s="75"/>
      <c r="B42" s="76"/>
      <c r="C42" s="45"/>
      <c r="D42" s="46"/>
      <c r="E42" s="77"/>
      <c r="F42" s="291"/>
      <c r="G42" s="292"/>
      <c r="H42" s="80"/>
      <c r="J42" s="81"/>
      <c r="K42" s="82"/>
      <c r="L42"/>
      <c r="M42" s="83"/>
      <c r="N42" s="84"/>
    </row>
    <row r="43" spans="1:14" ht="15.75" thickBot="1" x14ac:dyDescent="0.3">
      <c r="A43" s="85"/>
      <c r="B43" s="86" t="s">
        <v>46</v>
      </c>
      <c r="C43" s="87">
        <f>SUM(C9:C41)</f>
        <v>165</v>
      </c>
      <c r="D43" s="88">
        <f>SUM(D9:D41)</f>
        <v>106</v>
      </c>
      <c r="E43" s="89">
        <f>SUM(E9:E40)</f>
        <v>261</v>
      </c>
      <c r="F43" s="293">
        <f>SUM(F9:F40)</f>
        <v>173</v>
      </c>
      <c r="G43" s="294">
        <f>SUM(G9:G42)</f>
        <v>2166.5</v>
      </c>
      <c r="H43" s="92">
        <f>SUM(H9:H42)</f>
        <v>105484152</v>
      </c>
      <c r="J43" s="94">
        <f>SUM(J9:J42)</f>
        <v>2771</v>
      </c>
      <c r="K43" s="95">
        <f>SUM(K9:K42)</f>
        <v>121589692.64739886</v>
      </c>
      <c r="L43"/>
      <c r="M43" s="96">
        <f>G43/J43</f>
        <v>0.78184770840851681</v>
      </c>
      <c r="N43" s="97">
        <f>H43/K43</f>
        <v>0.86754189194224107</v>
      </c>
    </row>
    <row r="44" spans="1:14" x14ac:dyDescent="0.25">
      <c r="A44" s="60"/>
      <c r="B44" s="98"/>
      <c r="C44" s="62"/>
      <c r="D44" s="63"/>
      <c r="E44" s="64"/>
      <c r="F44" s="295"/>
      <c r="G44" s="296">
        <f>763.5+1403</f>
        <v>2166.5</v>
      </c>
      <c r="H44" s="100">
        <f>33662484+71821666</f>
        <v>105484150</v>
      </c>
      <c r="J44" s="67"/>
      <c r="K44" s="101"/>
      <c r="L44"/>
      <c r="M44" s="69"/>
      <c r="N44" s="70"/>
    </row>
    <row r="45" spans="1:14" x14ac:dyDescent="0.25">
      <c r="A45" s="32"/>
      <c r="B45" s="102"/>
      <c r="C45" s="34"/>
      <c r="D45" s="35"/>
      <c r="E45" s="36"/>
      <c r="F45" s="297"/>
      <c r="G45" s="296">
        <f>G43-G44</f>
        <v>0</v>
      </c>
      <c r="H45" s="63">
        <f>H43-H44</f>
        <v>2</v>
      </c>
      <c r="J45" s="40"/>
      <c r="K45" s="103"/>
      <c r="L45"/>
      <c r="M45" s="42"/>
      <c r="N45" s="104"/>
    </row>
    <row r="46" spans="1:14" x14ac:dyDescent="0.25">
      <c r="A46" s="32"/>
      <c r="B46" s="105"/>
      <c r="C46" s="34"/>
      <c r="D46" s="35"/>
      <c r="E46" s="36"/>
      <c r="F46" s="297"/>
      <c r="G46" s="298"/>
      <c r="H46" s="100"/>
      <c r="J46" s="67"/>
      <c r="K46" s="101"/>
      <c r="L46"/>
      <c r="M46" s="42"/>
      <c r="N46" s="104"/>
    </row>
    <row r="47" spans="1:14" x14ac:dyDescent="0.25">
      <c r="A47" s="32">
        <v>1</v>
      </c>
      <c r="B47" s="33" t="s">
        <v>47</v>
      </c>
      <c r="C47" s="34">
        <v>4</v>
      </c>
      <c r="D47" s="35">
        <v>3</v>
      </c>
      <c r="E47" s="36">
        <f t="shared" ref="E47:E52" si="7">C47+D47</f>
        <v>7</v>
      </c>
      <c r="F47" s="286">
        <f>2+2</f>
        <v>4</v>
      </c>
      <c r="G47" s="288">
        <f>14+14</f>
        <v>28</v>
      </c>
      <c r="H47" s="39">
        <f>707574+751569</f>
        <v>1459143</v>
      </c>
      <c r="J47" s="106"/>
      <c r="K47" s="68"/>
      <c r="L47"/>
      <c r="M47" s="42" t="e">
        <f t="shared" ref="M47:N49" si="8">G47/J47</f>
        <v>#DIV/0!</v>
      </c>
      <c r="N47" s="43" t="e">
        <f t="shared" si="8"/>
        <v>#DIV/0!</v>
      </c>
    </row>
    <row r="48" spans="1:14" x14ac:dyDescent="0.25">
      <c r="A48" s="32">
        <v>2</v>
      </c>
      <c r="B48" s="33" t="s">
        <v>48</v>
      </c>
      <c r="C48" s="34">
        <v>8</v>
      </c>
      <c r="D48" s="35">
        <v>2</v>
      </c>
      <c r="E48" s="36">
        <f t="shared" si="7"/>
        <v>10</v>
      </c>
      <c r="F48" s="286">
        <f>2+4</f>
        <v>6</v>
      </c>
      <c r="G48" s="288">
        <f>14+51</f>
        <v>65</v>
      </c>
      <c r="H48" s="39">
        <f>709352+2718441</f>
        <v>3427793</v>
      </c>
      <c r="I48" s="48"/>
      <c r="J48" s="106"/>
      <c r="K48" s="107"/>
      <c r="L48" s="48"/>
      <c r="M48" s="42" t="e">
        <f t="shared" si="8"/>
        <v>#DIV/0!</v>
      </c>
      <c r="N48" s="43" t="e">
        <f t="shared" si="8"/>
        <v>#DIV/0!</v>
      </c>
    </row>
    <row r="49" spans="1:17" x14ac:dyDescent="0.25">
      <c r="A49" s="32">
        <v>3</v>
      </c>
      <c r="B49" s="33" t="s">
        <v>49</v>
      </c>
      <c r="C49" s="34">
        <v>12</v>
      </c>
      <c r="D49" s="35">
        <v>3</v>
      </c>
      <c r="E49" s="36">
        <f t="shared" si="7"/>
        <v>15</v>
      </c>
      <c r="F49" s="286">
        <f>1+10</f>
        <v>11</v>
      </c>
      <c r="G49" s="288">
        <f>20+228</f>
        <v>248</v>
      </c>
      <c r="H49" s="39">
        <f>935010+11667624</f>
        <v>12602634</v>
      </c>
      <c r="J49" s="106">
        <v>792</v>
      </c>
      <c r="K49" s="107">
        <v>40072688.219653182</v>
      </c>
      <c r="L49"/>
      <c r="M49" s="42">
        <f t="shared" si="8"/>
        <v>0.31313131313131315</v>
      </c>
      <c r="N49" s="43">
        <f t="shared" si="8"/>
        <v>0.31449434914174751</v>
      </c>
    </row>
    <row r="50" spans="1:17" x14ac:dyDescent="0.25">
      <c r="A50" s="32">
        <v>4</v>
      </c>
      <c r="B50" s="33" t="s">
        <v>50</v>
      </c>
      <c r="C50" s="34">
        <v>12</v>
      </c>
      <c r="D50" s="35">
        <v>4</v>
      </c>
      <c r="E50" s="36">
        <f t="shared" si="7"/>
        <v>16</v>
      </c>
      <c r="F50" s="286">
        <f>2+1+8</f>
        <v>11</v>
      </c>
      <c r="G50" s="288">
        <f>25+11+126</f>
        <v>162</v>
      </c>
      <c r="H50" s="39">
        <f>1230007+557089+6820261</f>
        <v>8607357</v>
      </c>
      <c r="J50" s="106"/>
      <c r="K50" s="68"/>
      <c r="L50"/>
      <c r="M50" s="109" t="e">
        <f>(G50+G51)/J50</f>
        <v>#DIV/0!</v>
      </c>
      <c r="N50" s="66" t="e">
        <f>(H50+H51)/K50</f>
        <v>#DIV/0!</v>
      </c>
      <c r="O50" s="110"/>
      <c r="P50" s="111"/>
    </row>
    <row r="51" spans="1:17" x14ac:dyDescent="0.25">
      <c r="A51" s="32">
        <v>5</v>
      </c>
      <c r="B51" s="33" t="s">
        <v>51</v>
      </c>
      <c r="C51" s="34">
        <v>20</v>
      </c>
      <c r="D51" s="35">
        <v>7</v>
      </c>
      <c r="E51" s="36">
        <f t="shared" si="7"/>
        <v>27</v>
      </c>
      <c r="F51" s="286">
        <f>6+9+2</f>
        <v>17</v>
      </c>
      <c r="G51" s="288">
        <f>126.3+165+36.5</f>
        <v>327.8</v>
      </c>
      <c r="H51" s="39">
        <f>6064802+8847257+1904934</f>
        <v>16816993</v>
      </c>
      <c r="J51" s="112"/>
      <c r="K51" s="113"/>
      <c r="L51"/>
      <c r="M51" s="42"/>
      <c r="N51" s="43"/>
      <c r="O51" s="110"/>
      <c r="P51" s="111"/>
      <c r="Q51" s="299"/>
    </row>
    <row r="52" spans="1:17" x14ac:dyDescent="0.25">
      <c r="A52" s="32">
        <v>6</v>
      </c>
      <c r="B52" s="33" t="s">
        <v>52</v>
      </c>
      <c r="C52" s="34">
        <v>17</v>
      </c>
      <c r="D52" s="35">
        <v>2</v>
      </c>
      <c r="E52" s="36">
        <f t="shared" si="7"/>
        <v>19</v>
      </c>
      <c r="F52" s="286">
        <f>2+11</f>
        <v>13</v>
      </c>
      <c r="G52" s="288">
        <f>24+245</f>
        <v>269</v>
      </c>
      <c r="H52" s="39">
        <f>1142978+12465142</f>
        <v>13608120</v>
      </c>
      <c r="J52" s="112">
        <v>108</v>
      </c>
      <c r="K52" s="113">
        <v>4066384.6300578034</v>
      </c>
      <c r="L52"/>
      <c r="M52" s="42">
        <f>G52/J52</f>
        <v>2.4907407407407409</v>
      </c>
      <c r="N52" s="43">
        <f>H52/K52</f>
        <v>3.3464911064762117</v>
      </c>
      <c r="Q52" s="299"/>
    </row>
    <row r="53" spans="1:17" ht="15.75" thickBot="1" x14ac:dyDescent="0.3">
      <c r="A53" s="75"/>
      <c r="B53" s="76"/>
      <c r="C53" s="45"/>
      <c r="D53" s="46"/>
      <c r="E53" s="77"/>
      <c r="F53" s="291"/>
      <c r="G53" s="292"/>
      <c r="H53" s="80"/>
      <c r="J53" s="115"/>
      <c r="K53" s="116"/>
      <c r="L53"/>
      <c r="M53" s="83"/>
      <c r="N53" s="117"/>
      <c r="Q53" s="299"/>
    </row>
    <row r="54" spans="1:17" ht="15.75" thickBot="1" x14ac:dyDescent="0.3">
      <c r="A54" s="118"/>
      <c r="B54" s="119" t="s">
        <v>53</v>
      </c>
      <c r="C54" s="120">
        <f t="shared" ref="C54:H54" si="9">SUM(C47:C52)</f>
        <v>73</v>
      </c>
      <c r="D54" s="121">
        <f t="shared" si="9"/>
        <v>21</v>
      </c>
      <c r="E54" s="122">
        <f t="shared" si="9"/>
        <v>94</v>
      </c>
      <c r="F54" s="300">
        <f>SUM(F47:F53)</f>
        <v>62</v>
      </c>
      <c r="G54" s="301">
        <f t="shared" si="9"/>
        <v>1099.8</v>
      </c>
      <c r="H54" s="125">
        <f t="shared" si="9"/>
        <v>56522040</v>
      </c>
      <c r="J54" s="127">
        <f>SUM(J47:J53)</f>
        <v>900</v>
      </c>
      <c r="K54" s="127">
        <f>SUM(K47:K53)</f>
        <v>44139072.849710986</v>
      </c>
      <c r="L54"/>
      <c r="M54" s="128">
        <f>G54/J54</f>
        <v>1.222</v>
      </c>
      <c r="N54" s="129">
        <f>H54/K54</f>
        <v>1.2805443420266607</v>
      </c>
      <c r="O54" s="130"/>
      <c r="P54" s="130"/>
      <c r="Q54" s="299"/>
    </row>
    <row r="55" spans="1:17" x14ac:dyDescent="0.25">
      <c r="A55" s="60"/>
      <c r="B55" s="98"/>
      <c r="C55" s="62"/>
      <c r="D55" s="63"/>
      <c r="E55" s="131"/>
      <c r="F55" s="295"/>
      <c r="G55" s="302">
        <f>247.3+912</f>
        <v>1159.3</v>
      </c>
      <c r="H55" s="132">
        <f>11982875+47754701</f>
        <v>59737576</v>
      </c>
      <c r="J55" s="40"/>
      <c r="K55" s="103"/>
      <c r="L55"/>
      <c r="M55" s="69"/>
      <c r="N55" s="70"/>
    </row>
    <row r="56" spans="1:17" x14ac:dyDescent="0.25">
      <c r="A56" s="32"/>
      <c r="B56" s="102"/>
      <c r="C56" s="34"/>
      <c r="D56" s="35"/>
      <c r="E56" s="64"/>
      <c r="F56" s="297"/>
      <c r="G56" s="303">
        <f>G54-G55</f>
        <v>-59.5</v>
      </c>
      <c r="H56" s="39">
        <f>H54-H55</f>
        <v>-3215536</v>
      </c>
      <c r="J56" s="40"/>
      <c r="K56" s="103"/>
      <c r="L56"/>
      <c r="M56" s="42"/>
      <c r="N56" s="104"/>
    </row>
    <row r="57" spans="1:17" x14ac:dyDescent="0.25">
      <c r="A57" s="32"/>
      <c r="B57" s="105"/>
      <c r="C57" s="34"/>
      <c r="D57" s="35"/>
      <c r="E57" s="36"/>
      <c r="F57" s="286"/>
      <c r="G57" s="288"/>
      <c r="H57" s="39"/>
      <c r="J57" s="40"/>
      <c r="K57" s="103"/>
      <c r="L57"/>
      <c r="M57" s="42"/>
      <c r="N57" s="104"/>
    </row>
    <row r="58" spans="1:17" x14ac:dyDescent="0.25">
      <c r="A58" s="32">
        <v>1</v>
      </c>
      <c r="B58" s="33" t="s">
        <v>54</v>
      </c>
      <c r="C58" s="34">
        <v>2</v>
      </c>
      <c r="D58" s="35">
        <v>3</v>
      </c>
      <c r="E58" s="36">
        <f t="shared" ref="E58:E64" si="10">C58+D58</f>
        <v>5</v>
      </c>
      <c r="F58" s="286">
        <f>3+2</f>
        <v>5</v>
      </c>
      <c r="G58" s="288">
        <f>82+82</f>
        <v>164</v>
      </c>
      <c r="H58" s="39">
        <f>3981351+4103242</f>
        <v>8084593</v>
      </c>
      <c r="I58" s="48"/>
      <c r="J58" s="135">
        <v>375</v>
      </c>
      <c r="K58" s="136">
        <v>15139674.693641618</v>
      </c>
      <c r="L58" s="48"/>
      <c r="M58" s="42">
        <f>G58/J58</f>
        <v>0.43733333333333335</v>
      </c>
      <c r="N58" s="43">
        <f t="shared" ref="M58:N64" si="11">H58/K58</f>
        <v>0.53400044344383302</v>
      </c>
    </row>
    <row r="59" spans="1:17" x14ac:dyDescent="0.25">
      <c r="A59" s="32">
        <f>A58+1</f>
        <v>2</v>
      </c>
      <c r="B59" s="44" t="s">
        <v>55</v>
      </c>
      <c r="C59" s="45">
        <v>2</v>
      </c>
      <c r="D59" s="46"/>
      <c r="E59" s="36">
        <f t="shared" si="10"/>
        <v>2</v>
      </c>
      <c r="F59" s="286">
        <f>2</f>
        <v>2</v>
      </c>
      <c r="G59" s="288">
        <f>36.5</f>
        <v>36.5</v>
      </c>
      <c r="H59" s="39">
        <f>1803942</f>
        <v>1803942</v>
      </c>
      <c r="I59" s="48"/>
      <c r="J59" s="40"/>
      <c r="K59" s="103"/>
      <c r="L59" s="48"/>
      <c r="M59" s="42" t="e">
        <f t="shared" si="11"/>
        <v>#DIV/0!</v>
      </c>
      <c r="N59" s="43" t="e">
        <f t="shared" si="11"/>
        <v>#DIV/0!</v>
      </c>
    </row>
    <row r="60" spans="1:17" x14ac:dyDescent="0.25">
      <c r="A60" s="32">
        <f>A59+1</f>
        <v>3</v>
      </c>
      <c r="B60" s="33" t="s">
        <v>56</v>
      </c>
      <c r="C60" s="34">
        <v>7</v>
      </c>
      <c r="D60" s="35"/>
      <c r="E60" s="36">
        <f t="shared" si="10"/>
        <v>7</v>
      </c>
      <c r="F60" s="286">
        <f>2+1</f>
        <v>3</v>
      </c>
      <c r="G60" s="288">
        <f>63+25.5</f>
        <v>88.5</v>
      </c>
      <c r="H60" s="39">
        <f>3281220+1300354</f>
        <v>4581574</v>
      </c>
      <c r="I60" s="48"/>
      <c r="J60" s="40"/>
      <c r="K60" s="103"/>
      <c r="L60" s="48"/>
      <c r="M60" s="42" t="e">
        <f t="shared" si="11"/>
        <v>#DIV/0!</v>
      </c>
      <c r="N60" s="43" t="e">
        <f t="shared" si="11"/>
        <v>#DIV/0!</v>
      </c>
    </row>
    <row r="61" spans="1:17" x14ac:dyDescent="0.25">
      <c r="A61" s="32">
        <f>A60+1</f>
        <v>4</v>
      </c>
      <c r="B61" s="33" t="s">
        <v>57</v>
      </c>
      <c r="C61" s="34">
        <v>9</v>
      </c>
      <c r="D61" s="35">
        <v>6</v>
      </c>
      <c r="E61" s="36">
        <f t="shared" si="10"/>
        <v>15</v>
      </c>
      <c r="F61" s="286">
        <f>8+10</f>
        <v>18</v>
      </c>
      <c r="G61" s="288">
        <f>276.5+476</f>
        <v>752.5</v>
      </c>
      <c r="H61" s="39">
        <f>13257377+24248057</f>
        <v>37505434</v>
      </c>
      <c r="J61" s="40">
        <v>1428</v>
      </c>
      <c r="K61" s="103">
        <v>58569195.130057797</v>
      </c>
      <c r="L61"/>
      <c r="M61" s="42">
        <f t="shared" si="11"/>
        <v>0.52696078431372551</v>
      </c>
      <c r="N61" s="43">
        <f t="shared" si="11"/>
        <v>0.6403610962506151</v>
      </c>
    </row>
    <row r="62" spans="1:17" x14ac:dyDescent="0.25">
      <c r="A62" s="32">
        <f>A61+1</f>
        <v>5</v>
      </c>
      <c r="B62" s="33" t="s">
        <v>58</v>
      </c>
      <c r="C62" s="34">
        <v>2</v>
      </c>
      <c r="D62" s="35"/>
      <c r="E62" s="36">
        <f t="shared" si="10"/>
        <v>2</v>
      </c>
      <c r="F62" s="286"/>
      <c r="G62" s="288"/>
      <c r="H62" s="39"/>
      <c r="I62" s="48"/>
      <c r="J62" s="40"/>
      <c r="K62" s="41"/>
      <c r="L62" s="48"/>
      <c r="M62" s="42" t="e">
        <f t="shared" si="11"/>
        <v>#DIV/0!</v>
      </c>
      <c r="N62" s="43" t="e">
        <f t="shared" si="11"/>
        <v>#DIV/0!</v>
      </c>
    </row>
    <row r="63" spans="1:17" x14ac:dyDescent="0.25">
      <c r="A63" s="75">
        <f>A62+1</f>
        <v>6</v>
      </c>
      <c r="B63" s="44" t="s">
        <v>59</v>
      </c>
      <c r="C63" s="45">
        <v>1</v>
      </c>
      <c r="D63" s="46"/>
      <c r="E63" s="36">
        <f t="shared" si="10"/>
        <v>1</v>
      </c>
      <c r="F63" s="286"/>
      <c r="G63" s="288"/>
      <c r="H63" s="39"/>
      <c r="I63" s="48"/>
      <c r="J63" s="137">
        <v>12</v>
      </c>
      <c r="K63" s="55">
        <v>485318.73410404625</v>
      </c>
      <c r="L63" s="48"/>
      <c r="M63" s="42">
        <f t="shared" si="11"/>
        <v>0</v>
      </c>
      <c r="N63" s="43">
        <f t="shared" si="11"/>
        <v>0</v>
      </c>
    </row>
    <row r="64" spans="1:17" x14ac:dyDescent="0.25">
      <c r="A64" s="32">
        <v>7</v>
      </c>
      <c r="B64" s="33" t="s">
        <v>60</v>
      </c>
      <c r="C64" s="34">
        <v>3</v>
      </c>
      <c r="D64" s="35">
        <v>1</v>
      </c>
      <c r="E64" s="36">
        <f t="shared" si="10"/>
        <v>4</v>
      </c>
      <c r="F64" s="286">
        <f>1+1</f>
        <v>2</v>
      </c>
      <c r="G64" s="288">
        <f>24+36</f>
        <v>60</v>
      </c>
      <c r="H64" s="39">
        <f>1193152+2022384+1300354</f>
        <v>4515890</v>
      </c>
      <c r="J64" s="138"/>
      <c r="K64" s="139"/>
      <c r="L64"/>
      <c r="M64" s="42" t="e">
        <f t="shared" si="11"/>
        <v>#DIV/0!</v>
      </c>
      <c r="N64" s="43" t="e">
        <f t="shared" si="11"/>
        <v>#DIV/0!</v>
      </c>
    </row>
    <row r="65" spans="1:14" ht="15.75" thickBot="1" x14ac:dyDescent="0.3">
      <c r="A65" s="32"/>
      <c r="B65" s="33"/>
      <c r="C65" s="34"/>
      <c r="D65" s="35"/>
      <c r="E65" s="36"/>
      <c r="F65" s="286"/>
      <c r="G65" s="288"/>
      <c r="H65" s="39"/>
      <c r="J65" s="138"/>
      <c r="K65" s="139"/>
      <c r="L65"/>
      <c r="M65" s="42"/>
      <c r="N65" s="43"/>
    </row>
    <row r="66" spans="1:14" ht="15.75" thickBot="1" x14ac:dyDescent="0.3">
      <c r="A66" s="140"/>
      <c r="B66" s="141" t="s">
        <v>61</v>
      </c>
      <c r="C66" s="142">
        <f t="shared" ref="C66:H66" si="12">SUM(C58:C64)</f>
        <v>26</v>
      </c>
      <c r="D66" s="143">
        <f t="shared" si="12"/>
        <v>10</v>
      </c>
      <c r="E66" s="143">
        <f t="shared" si="12"/>
        <v>36</v>
      </c>
      <c r="F66" s="304">
        <f t="shared" si="12"/>
        <v>30</v>
      </c>
      <c r="G66" s="305">
        <f t="shared" si="12"/>
        <v>1101.5</v>
      </c>
      <c r="H66" s="147">
        <f t="shared" si="12"/>
        <v>56491433</v>
      </c>
      <c r="I66" s="306"/>
      <c r="J66" s="147">
        <f t="shared" ref="J66:K66" si="13">SUM(J58:J64)</f>
        <v>1815</v>
      </c>
      <c r="K66" s="147">
        <f t="shared" si="13"/>
        <v>74194188.557803467</v>
      </c>
      <c r="L66"/>
      <c r="M66" s="149">
        <f>G66/J66</f>
        <v>0.60688705234159779</v>
      </c>
      <c r="N66" s="150">
        <f>H66/K66</f>
        <v>0.76139970121768308</v>
      </c>
    </row>
    <row r="67" spans="1:14" x14ac:dyDescent="0.25">
      <c r="A67" s="60"/>
      <c r="B67" s="98"/>
      <c r="C67" s="62"/>
      <c r="D67" s="63"/>
      <c r="E67" s="64"/>
      <c r="F67" s="295"/>
      <c r="G67" s="302">
        <f>24+358.5+683</f>
        <v>1065.5</v>
      </c>
      <c r="H67" s="100">
        <f>1193152+17238728+34736815</f>
        <v>53168695</v>
      </c>
      <c r="J67" s="40"/>
      <c r="K67" s="103"/>
      <c r="L67"/>
      <c r="M67" s="69"/>
      <c r="N67" s="70"/>
    </row>
    <row r="68" spans="1:14" x14ac:dyDescent="0.25">
      <c r="A68" s="32"/>
      <c r="B68" s="102"/>
      <c r="C68" s="34"/>
      <c r="D68" s="35"/>
      <c r="E68" s="36"/>
      <c r="F68" s="297"/>
      <c r="G68" s="303">
        <f>G66-G67</f>
        <v>36</v>
      </c>
      <c r="H68" s="39">
        <f>H66-H67</f>
        <v>3322738</v>
      </c>
      <c r="J68" s="40"/>
      <c r="K68" s="103"/>
      <c r="L68"/>
      <c r="M68" s="42"/>
      <c r="N68" s="104"/>
    </row>
    <row r="69" spans="1:14" x14ac:dyDescent="0.25">
      <c r="A69" s="32"/>
      <c r="B69" s="105"/>
      <c r="C69" s="34"/>
      <c r="D69" s="35"/>
      <c r="E69" s="36"/>
      <c r="F69" s="297"/>
      <c r="G69" s="303"/>
      <c r="H69" s="39"/>
      <c r="J69" s="40"/>
      <c r="K69" s="103"/>
      <c r="L69"/>
      <c r="M69" s="42"/>
      <c r="N69" s="104"/>
    </row>
    <row r="70" spans="1:14" x14ac:dyDescent="0.25">
      <c r="A70" s="32">
        <v>1</v>
      </c>
      <c r="B70" s="33" t="s">
        <v>62</v>
      </c>
      <c r="C70" s="34">
        <v>6</v>
      </c>
      <c r="D70" s="35"/>
      <c r="E70" s="36">
        <f t="shared" ref="E70:E75" si="14">C70+D70</f>
        <v>6</v>
      </c>
      <c r="F70" s="286">
        <f>1</f>
        <v>1</v>
      </c>
      <c r="G70" s="288">
        <f>10</f>
        <v>10</v>
      </c>
      <c r="H70" s="39">
        <f>517120</f>
        <v>517120</v>
      </c>
      <c r="J70" s="112"/>
      <c r="K70" s="113"/>
      <c r="L70"/>
      <c r="M70" s="42" t="e">
        <f t="shared" ref="M70:N74" si="15">G70/J70</f>
        <v>#DIV/0!</v>
      </c>
      <c r="N70" s="43" t="e">
        <f t="shared" si="15"/>
        <v>#DIV/0!</v>
      </c>
    </row>
    <row r="71" spans="1:14" x14ac:dyDescent="0.25">
      <c r="A71" s="32">
        <f>A70+1</f>
        <v>2</v>
      </c>
      <c r="B71" s="33" t="s">
        <v>63</v>
      </c>
      <c r="C71" s="34">
        <v>3</v>
      </c>
      <c r="D71" s="35"/>
      <c r="E71" s="36">
        <f t="shared" si="14"/>
        <v>3</v>
      </c>
      <c r="F71" s="286"/>
      <c r="G71" s="288"/>
      <c r="H71" s="39"/>
      <c r="J71" s="112"/>
      <c r="K71" s="113"/>
      <c r="L71"/>
      <c r="M71" s="42" t="e">
        <f t="shared" si="15"/>
        <v>#DIV/0!</v>
      </c>
      <c r="N71" s="43" t="e">
        <f t="shared" si="15"/>
        <v>#DIV/0!</v>
      </c>
    </row>
    <row r="72" spans="1:14" x14ac:dyDescent="0.25">
      <c r="A72" s="32">
        <f>A71+1</f>
        <v>3</v>
      </c>
      <c r="B72" s="33" t="s">
        <v>64</v>
      </c>
      <c r="C72" s="34">
        <v>2</v>
      </c>
      <c r="D72" s="35">
        <v>1</v>
      </c>
      <c r="E72" s="36">
        <f t="shared" si="14"/>
        <v>3</v>
      </c>
      <c r="F72" s="286"/>
      <c r="G72" s="288"/>
      <c r="H72" s="39"/>
      <c r="J72" s="112"/>
      <c r="K72" s="113"/>
      <c r="L72"/>
      <c r="M72" s="42" t="e">
        <f t="shared" si="15"/>
        <v>#DIV/0!</v>
      </c>
      <c r="N72" s="43" t="e">
        <f t="shared" si="15"/>
        <v>#DIV/0!</v>
      </c>
    </row>
    <row r="73" spans="1:14" x14ac:dyDescent="0.25">
      <c r="A73" s="32">
        <f>A72+1</f>
        <v>4</v>
      </c>
      <c r="B73" s="33" t="s">
        <v>65</v>
      </c>
      <c r="C73" s="34">
        <v>6</v>
      </c>
      <c r="D73" s="35">
        <v>4</v>
      </c>
      <c r="E73" s="36">
        <f t="shared" si="14"/>
        <v>10</v>
      </c>
      <c r="F73" s="286"/>
      <c r="G73" s="288"/>
      <c r="H73" s="39"/>
      <c r="J73" s="112">
        <v>9</v>
      </c>
      <c r="K73" s="113">
        <v>341371.76878612716</v>
      </c>
      <c r="L73"/>
      <c r="M73" s="42">
        <f t="shared" si="15"/>
        <v>0</v>
      </c>
      <c r="N73" s="43">
        <f t="shared" si="15"/>
        <v>0</v>
      </c>
    </row>
    <row r="74" spans="1:14" x14ac:dyDescent="0.25">
      <c r="A74" s="32">
        <f>A73+1</f>
        <v>5</v>
      </c>
      <c r="B74" s="33" t="s">
        <v>66</v>
      </c>
      <c r="C74" s="34">
        <v>2</v>
      </c>
      <c r="D74" s="35"/>
      <c r="E74" s="36">
        <f t="shared" si="14"/>
        <v>2</v>
      </c>
      <c r="F74" s="286"/>
      <c r="G74" s="288"/>
      <c r="H74" s="39"/>
      <c r="I74" s="48"/>
      <c r="J74" s="40"/>
      <c r="K74" s="103"/>
      <c r="L74" s="48"/>
      <c r="M74" s="42" t="e">
        <f t="shared" si="15"/>
        <v>#DIV/0!</v>
      </c>
      <c r="N74" s="43" t="e">
        <f t="shared" si="15"/>
        <v>#DIV/0!</v>
      </c>
    </row>
    <row r="75" spans="1:14" x14ac:dyDescent="0.25">
      <c r="A75" s="32">
        <f>A74+1</f>
        <v>6</v>
      </c>
      <c r="B75" s="33" t="s">
        <v>67</v>
      </c>
      <c r="C75" s="34">
        <v>8</v>
      </c>
      <c r="D75" s="35">
        <v>2</v>
      </c>
      <c r="E75" s="36">
        <f t="shared" si="14"/>
        <v>10</v>
      </c>
      <c r="F75" s="286"/>
      <c r="G75" s="288"/>
      <c r="H75" s="39"/>
      <c r="J75" s="135">
        <v>330</v>
      </c>
      <c r="K75" s="136">
        <v>13341525.699421965</v>
      </c>
      <c r="L75"/>
      <c r="M75" s="65">
        <f>(G76+G77)/J75</f>
        <v>0.14393939393939395</v>
      </c>
      <c r="N75" s="66">
        <f>(H76+H77)/K75</f>
        <v>0.19866873247598943</v>
      </c>
    </row>
    <row r="76" spans="1:14" s="48" customFormat="1" x14ac:dyDescent="0.25">
      <c r="A76" s="51"/>
      <c r="B76" s="57" t="s">
        <v>68</v>
      </c>
      <c r="C76" s="53"/>
      <c r="D76" s="54"/>
      <c r="E76" s="55"/>
      <c r="F76" s="289"/>
      <c r="G76" s="290"/>
      <c r="H76" s="56"/>
      <c r="J76" s="40"/>
      <c r="K76" s="103"/>
      <c r="M76" s="49" t="e">
        <f>(G76+G77)/J76</f>
        <v>#DIV/0!</v>
      </c>
      <c r="N76" s="50" t="e">
        <f>(H76+H77)/K76</f>
        <v>#DIV/0!</v>
      </c>
    </row>
    <row r="77" spans="1:14" x14ac:dyDescent="0.25">
      <c r="A77" s="32"/>
      <c r="B77" s="57" t="s">
        <v>69</v>
      </c>
      <c r="C77" s="34"/>
      <c r="D77" s="35"/>
      <c r="E77" s="36"/>
      <c r="F77" s="286">
        <f>1+4</f>
        <v>5</v>
      </c>
      <c r="G77" s="288">
        <f>8+39.5</f>
        <v>47.5</v>
      </c>
      <c r="H77" s="39">
        <f>433908+2216636</f>
        <v>2650544</v>
      </c>
      <c r="J77" s="40"/>
      <c r="K77" s="103"/>
      <c r="L77"/>
      <c r="M77" s="42"/>
      <c r="N77" s="43"/>
    </row>
    <row r="78" spans="1:14" x14ac:dyDescent="0.25">
      <c r="A78" s="32">
        <v>7</v>
      </c>
      <c r="B78" s="33" t="s">
        <v>70</v>
      </c>
      <c r="C78" s="34"/>
      <c r="D78" s="35"/>
      <c r="E78" s="36">
        <f>C78+D78</f>
        <v>0</v>
      </c>
      <c r="F78" s="286"/>
      <c r="G78" s="288"/>
      <c r="H78" s="39"/>
      <c r="J78" s="40"/>
      <c r="K78" s="103"/>
      <c r="L78"/>
      <c r="M78" s="109" t="e">
        <f>(G78+G82)/J78</f>
        <v>#DIV/0!</v>
      </c>
      <c r="N78" s="66" t="e">
        <f>(H78+H82)/K78</f>
        <v>#DIV/0!</v>
      </c>
    </row>
    <row r="79" spans="1:14" x14ac:dyDescent="0.25">
      <c r="A79" s="32">
        <f>A78+1</f>
        <v>8</v>
      </c>
      <c r="B79" s="33" t="s">
        <v>71</v>
      </c>
      <c r="C79" s="34">
        <v>3</v>
      </c>
      <c r="D79" s="35"/>
      <c r="E79" s="36">
        <f>C79+D79</f>
        <v>3</v>
      </c>
      <c r="F79" s="286"/>
      <c r="G79" s="288"/>
      <c r="H79" s="39"/>
      <c r="J79" s="112"/>
      <c r="K79" s="113"/>
      <c r="L79"/>
      <c r="M79" s="42" t="e">
        <f>G79/J79</f>
        <v>#DIV/0!</v>
      </c>
      <c r="N79" s="43" t="e">
        <f>H79/K79</f>
        <v>#DIV/0!</v>
      </c>
    </row>
    <row r="80" spans="1:14" x14ac:dyDescent="0.25">
      <c r="A80" s="32">
        <f>A79+1</f>
        <v>9</v>
      </c>
      <c r="B80" s="33" t="s">
        <v>72</v>
      </c>
      <c r="C80" s="34">
        <v>3</v>
      </c>
      <c r="D80" s="35">
        <v>2</v>
      </c>
      <c r="E80" s="36">
        <f>C80+D80</f>
        <v>5</v>
      </c>
      <c r="F80" s="286">
        <f>1+2</f>
        <v>3</v>
      </c>
      <c r="G80" s="288">
        <f>13.9+14</f>
        <v>27.9</v>
      </c>
      <c r="H80" s="39">
        <f>712069+753578</f>
        <v>1465647</v>
      </c>
      <c r="J80" s="112">
        <v>35</v>
      </c>
      <c r="K80" s="113">
        <v>1745620.1849710983</v>
      </c>
      <c r="L80"/>
      <c r="M80" s="153">
        <f>(G79+G80)/J80</f>
        <v>0.79714285714285715</v>
      </c>
      <c r="N80" s="50">
        <f>(H79+H80)/K80</f>
        <v>0.83961391637108407</v>
      </c>
    </row>
    <row r="81" spans="1:32" s="48" customFormat="1" x14ac:dyDescent="0.25">
      <c r="A81" s="51">
        <f>A80+1</f>
        <v>10</v>
      </c>
      <c r="B81" s="154" t="s">
        <v>73</v>
      </c>
      <c r="C81" s="53">
        <v>6</v>
      </c>
      <c r="D81" s="54">
        <v>1</v>
      </c>
      <c r="E81" s="55">
        <f>C81+D81</f>
        <v>7</v>
      </c>
      <c r="F81" s="289"/>
      <c r="G81" s="290"/>
      <c r="H81" s="56"/>
      <c r="J81" s="112">
        <v>528</v>
      </c>
      <c r="K81" s="113">
        <v>20198726.289017342</v>
      </c>
      <c r="M81" s="155">
        <f>(G82+G83)/J81</f>
        <v>0.7320075757575758</v>
      </c>
      <c r="N81" s="66">
        <f>(H82+H83)/K81</f>
        <v>0.99870980532908593</v>
      </c>
    </row>
    <row r="82" spans="1:32" s="48" customFormat="1" x14ac:dyDescent="0.25">
      <c r="A82" s="51"/>
      <c r="B82" s="154" t="s">
        <v>74</v>
      </c>
      <c r="C82" s="53"/>
      <c r="D82" s="54"/>
      <c r="E82" s="55">
        <f>C82+D82</f>
        <v>0</v>
      </c>
      <c r="F82" s="289">
        <f>1+4</f>
        <v>5</v>
      </c>
      <c r="G82" s="290">
        <f>42.5+344</f>
        <v>386.5</v>
      </c>
      <c r="H82" s="56">
        <f>2067037+18105629</f>
        <v>20172666</v>
      </c>
      <c r="J82" s="112"/>
      <c r="K82" s="113"/>
      <c r="M82" s="109"/>
      <c r="N82" s="66"/>
    </row>
    <row r="83" spans="1:32" s="48" customFormat="1" x14ac:dyDescent="0.25">
      <c r="A83" s="51"/>
      <c r="B83" s="156" t="s">
        <v>75</v>
      </c>
      <c r="C83" s="157"/>
      <c r="D83" s="158"/>
      <c r="E83" s="55"/>
      <c r="F83" s="289"/>
      <c r="G83" s="307"/>
      <c r="H83" s="56"/>
      <c r="J83" s="112"/>
      <c r="K83" s="113"/>
      <c r="M83" s="109"/>
      <c r="N83" s="66"/>
    </row>
    <row r="84" spans="1:32" x14ac:dyDescent="0.25">
      <c r="A84" s="32">
        <f>A81+1</f>
        <v>11</v>
      </c>
      <c r="B84" s="33" t="s">
        <v>76</v>
      </c>
      <c r="C84" s="53"/>
      <c r="D84" s="54"/>
      <c r="E84" s="36">
        <f>C84+D84</f>
        <v>0</v>
      </c>
      <c r="F84" s="286"/>
      <c r="G84" s="288"/>
      <c r="H84" s="35"/>
      <c r="J84" s="112"/>
      <c r="K84" s="113"/>
      <c r="L84"/>
      <c r="M84" s="42" t="e">
        <f>G84/J84</f>
        <v>#DIV/0!</v>
      </c>
      <c r="N84" s="43" t="e">
        <f>H84/K84</f>
        <v>#DIV/0!</v>
      </c>
    </row>
    <row r="85" spans="1:32" ht="15.75" thickBot="1" x14ac:dyDescent="0.3">
      <c r="A85" s="159"/>
      <c r="B85" s="76"/>
      <c r="C85" s="45"/>
      <c r="D85" s="46"/>
      <c r="E85" s="77"/>
      <c r="F85" s="291"/>
      <c r="G85" s="292"/>
      <c r="H85" s="80"/>
      <c r="J85" s="137"/>
      <c r="K85" s="116"/>
      <c r="L85"/>
      <c r="M85" s="83"/>
      <c r="N85" s="117"/>
    </row>
    <row r="86" spans="1:32" ht="15.75" thickBot="1" x14ac:dyDescent="0.3">
      <c r="A86" s="160"/>
      <c r="B86" s="161" t="s">
        <v>77</v>
      </c>
      <c r="C86" s="162">
        <f t="shared" ref="C86:H86" si="16">SUM(C69:C84)</f>
        <v>39</v>
      </c>
      <c r="D86" s="163">
        <f t="shared" si="16"/>
        <v>10</v>
      </c>
      <c r="E86" s="164">
        <f t="shared" si="16"/>
        <v>49</v>
      </c>
      <c r="F86" s="308">
        <f t="shared" si="16"/>
        <v>14</v>
      </c>
      <c r="G86" s="277">
        <f t="shared" si="16"/>
        <v>471.9</v>
      </c>
      <c r="H86" s="167">
        <f t="shared" si="16"/>
        <v>24805977</v>
      </c>
      <c r="J86" s="169">
        <f>SUM(J69:J85)</f>
        <v>902</v>
      </c>
      <c r="K86" s="170">
        <f>SUM(K69:K85)</f>
        <v>35627243.942196533</v>
      </c>
      <c r="L86"/>
      <c r="M86" s="171">
        <f>G86/J86</f>
        <v>0.52317073170731709</v>
      </c>
      <c r="N86" s="172">
        <f>H86/K86</f>
        <v>0.69626427012559511</v>
      </c>
    </row>
    <row r="87" spans="1:32" x14ac:dyDescent="0.25">
      <c r="A87" s="173"/>
      <c r="B87" s="98"/>
      <c r="C87" s="62"/>
      <c r="D87" s="63"/>
      <c r="E87" s="100"/>
      <c r="F87" s="309"/>
      <c r="G87" s="302">
        <f>64.4</f>
        <v>64.400000000000006</v>
      </c>
      <c r="H87" s="174">
        <f>3213014</f>
        <v>3213014</v>
      </c>
      <c r="J87" s="175"/>
      <c r="K87" s="176"/>
      <c r="L87"/>
      <c r="M87" s="177"/>
      <c r="N87" s="178"/>
    </row>
    <row r="88" spans="1:32" x14ac:dyDescent="0.25">
      <c r="A88" s="179"/>
      <c r="B88" s="102"/>
      <c r="C88" s="180"/>
      <c r="D88" s="181"/>
      <c r="E88" s="182"/>
      <c r="F88" s="310"/>
      <c r="G88" s="311">
        <f>G86-G87</f>
        <v>407.5</v>
      </c>
      <c r="H88" s="184">
        <f>H86-H87</f>
        <v>21592963</v>
      </c>
      <c r="J88" s="99"/>
      <c r="K88" s="174"/>
      <c r="L88"/>
      <c r="M88" s="177"/>
      <c r="N88" s="178"/>
    </row>
    <row r="89" spans="1:32" x14ac:dyDescent="0.25">
      <c r="A89" s="179"/>
      <c r="B89" s="185"/>
      <c r="C89" s="34"/>
      <c r="D89" s="35"/>
      <c r="E89" s="39"/>
      <c r="F89" s="312"/>
      <c r="G89" s="303"/>
      <c r="H89" s="152"/>
      <c r="J89" s="186"/>
      <c r="K89" s="152"/>
      <c r="L89"/>
      <c r="M89" s="42"/>
      <c r="N89" s="43"/>
    </row>
    <row r="90" spans="1:32" ht="15.75" thickBot="1" x14ac:dyDescent="0.3">
      <c r="A90" s="187"/>
      <c r="B90" s="188"/>
      <c r="C90" s="189"/>
      <c r="D90" s="190"/>
      <c r="E90" s="191"/>
      <c r="F90" s="313"/>
      <c r="G90" s="314"/>
      <c r="H90" s="191"/>
      <c r="J90" s="194"/>
      <c r="K90" s="195"/>
      <c r="L90"/>
      <c r="M90" s="196"/>
      <c r="N90" s="197"/>
    </row>
    <row r="91" spans="1:32" ht="15.75" thickBot="1" x14ac:dyDescent="0.3">
      <c r="A91" s="198"/>
      <c r="B91" s="199" t="s">
        <v>78</v>
      </c>
      <c r="C91" s="200">
        <f t="shared" ref="C91:G91" si="17">C86+C66+C54+C43</f>
        <v>303</v>
      </c>
      <c r="D91" s="200">
        <f t="shared" si="17"/>
        <v>147</v>
      </c>
      <c r="E91" s="200">
        <f t="shared" si="17"/>
        <v>440</v>
      </c>
      <c r="F91" s="315">
        <f>F86+F66+F54+F43</f>
        <v>279</v>
      </c>
      <c r="G91" s="316">
        <f t="shared" si="17"/>
        <v>4839.7</v>
      </c>
      <c r="H91" s="200">
        <f>H86+H66+H54+H43</f>
        <v>243303602</v>
      </c>
      <c r="J91" s="200">
        <f>J86+J66+J54+J43</f>
        <v>6388</v>
      </c>
      <c r="K91" s="200">
        <f>K86+K66+K54+K43</f>
        <v>275550197.99710989</v>
      </c>
      <c r="L91"/>
      <c r="M91" s="202">
        <f>G91/J91</f>
        <v>0.75762366938008763</v>
      </c>
      <c r="N91" s="203">
        <f>H91/K91</f>
        <v>0.88297378760203937</v>
      </c>
    </row>
    <row r="92" spans="1:32" x14ac:dyDescent="0.25">
      <c r="G92" s="317"/>
      <c r="H92" s="204"/>
      <c r="J92" s="110"/>
      <c r="K92" s="111"/>
      <c r="M92" s="205"/>
      <c r="N92" s="206"/>
      <c r="P92" s="110"/>
      <c r="Q92" s="111"/>
      <c r="S92" s="110"/>
      <c r="T92" s="111"/>
      <c r="V92" s="110"/>
      <c r="W92" s="111"/>
      <c r="Y92" s="111"/>
      <c r="Z92" s="111"/>
      <c r="AB92" s="110"/>
      <c r="AC92" s="110"/>
      <c r="AE92" s="207"/>
      <c r="AF92" s="207"/>
    </row>
    <row r="93" spans="1:32" x14ac:dyDescent="0.25">
      <c r="C93" s="208"/>
      <c r="D93" s="209"/>
      <c r="E93" s="209"/>
      <c r="G93" s="317"/>
      <c r="H93" s="204"/>
      <c r="J93" s="204"/>
      <c r="K93" s="204"/>
      <c r="M93" s="204"/>
      <c r="N93" s="204"/>
      <c r="P93" s="204"/>
      <c r="Q93" s="110"/>
      <c r="S93" s="204"/>
      <c r="T93" s="110"/>
      <c r="V93" s="110"/>
      <c r="W93" s="110"/>
      <c r="Y93" s="110"/>
      <c r="Z93" s="110"/>
      <c r="AB93" s="110"/>
      <c r="AC93" s="110"/>
      <c r="AE93" s="207"/>
      <c r="AF93" s="207"/>
    </row>
    <row r="94" spans="1:32" ht="15.75" thickBot="1" x14ac:dyDescent="0.3">
      <c r="B94" s="210"/>
      <c r="C94" s="208"/>
      <c r="D94" s="209"/>
      <c r="E94" s="209"/>
      <c r="F94" s="318"/>
      <c r="G94" s="319"/>
      <c r="H94" s="209"/>
      <c r="K94" s="110"/>
      <c r="X94" s="111"/>
      <c r="Y94" s="111"/>
      <c r="Z94" s="111"/>
      <c r="AE94" s="207"/>
      <c r="AF94" s="207"/>
    </row>
    <row r="95" spans="1:32" ht="19.5" thickBot="1" x14ac:dyDescent="0.3">
      <c r="E95" s="210"/>
      <c r="F95" s="320" t="s">
        <v>79</v>
      </c>
      <c r="G95" s="214" t="s">
        <v>80</v>
      </c>
      <c r="H95" s="215" t="s">
        <v>81</v>
      </c>
      <c r="J95" s="330" t="str">
        <f>J5</f>
        <v>BUDGET AGUSTUS</v>
      </c>
      <c r="K95" s="331"/>
      <c r="L95"/>
      <c r="M95" s="332" t="s">
        <v>5</v>
      </c>
      <c r="N95" s="333"/>
    </row>
    <row r="96" spans="1:32" x14ac:dyDescent="0.25">
      <c r="E96" s="209"/>
      <c r="F96" s="321" t="s">
        <v>82</v>
      </c>
      <c r="G96" s="322">
        <f>G43+G54</f>
        <v>3266.3</v>
      </c>
      <c r="H96" s="218">
        <f>H43+H54</f>
        <v>162006192</v>
      </c>
      <c r="J96" s="219">
        <f>J43+J54</f>
        <v>3671</v>
      </c>
      <c r="K96" s="219">
        <f>K43+K54</f>
        <v>165728765.49710983</v>
      </c>
      <c r="L96"/>
      <c r="M96" s="220">
        <f>G96/J96</f>
        <v>0.88975755924816136</v>
      </c>
      <c r="N96" s="221">
        <f>H96/K96</f>
        <v>0.97753815708489811</v>
      </c>
    </row>
    <row r="97" spans="2:29" x14ac:dyDescent="0.25">
      <c r="E97" s="209"/>
      <c r="F97" s="323" t="s">
        <v>83</v>
      </c>
      <c r="G97" s="324">
        <f>G66</f>
        <v>1101.5</v>
      </c>
      <c r="H97" s="223">
        <f>H66</f>
        <v>56491433</v>
      </c>
      <c r="J97" s="224">
        <f>J66</f>
        <v>1815</v>
      </c>
      <c r="K97" s="224">
        <f>K66</f>
        <v>74194188.557803467</v>
      </c>
      <c r="L97"/>
      <c r="M97" s="225">
        <f t="shared" ref="M97:N99" si="18">G97/J97</f>
        <v>0.60688705234159779</v>
      </c>
      <c r="N97" s="226">
        <f t="shared" si="18"/>
        <v>0.76139970121768308</v>
      </c>
    </row>
    <row r="98" spans="2:29" ht="15.75" thickBot="1" x14ac:dyDescent="0.3">
      <c r="E98" s="209"/>
      <c r="F98" s="323" t="s">
        <v>84</v>
      </c>
      <c r="G98" s="325">
        <f>G86</f>
        <v>471.9</v>
      </c>
      <c r="H98" s="228">
        <f>H86</f>
        <v>24805977</v>
      </c>
      <c r="J98" s="229">
        <f>J86</f>
        <v>902</v>
      </c>
      <c r="K98" s="230">
        <f>K86</f>
        <v>35627243.942196533</v>
      </c>
      <c r="L98"/>
      <c r="M98" s="231">
        <f t="shared" si="18"/>
        <v>0.52317073170731709</v>
      </c>
      <c r="N98" s="232">
        <f t="shared" si="18"/>
        <v>0.69626427012559511</v>
      </c>
    </row>
    <row r="99" spans="2:29" ht="15.75" thickBot="1" x14ac:dyDescent="0.3">
      <c r="F99" s="326" t="s">
        <v>78</v>
      </c>
      <c r="G99" s="327">
        <f>SUM(G96:G98)</f>
        <v>4839.7</v>
      </c>
      <c r="H99" s="236">
        <f>SUM(H96:H98)</f>
        <v>243303602</v>
      </c>
      <c r="J99" s="237">
        <f>SUM(J96:J98)</f>
        <v>6388</v>
      </c>
      <c r="K99" s="238">
        <f>SUM(K96:K98)</f>
        <v>275550197.99710983</v>
      </c>
      <c r="L99"/>
      <c r="M99" s="239">
        <f t="shared" si="18"/>
        <v>0.75762366938008763</v>
      </c>
      <c r="N99" s="240">
        <f t="shared" si="18"/>
        <v>0.88297378760203959</v>
      </c>
    </row>
    <row r="100" spans="2:29" x14ac:dyDescent="0.25">
      <c r="C100" s="208"/>
      <c r="D100" s="209"/>
      <c r="E100" s="209"/>
      <c r="F100" s="319"/>
      <c r="G100" s="319"/>
      <c r="H100" s="209"/>
      <c r="I100" s="4"/>
      <c r="J100" s="4"/>
      <c r="K100" s="4"/>
      <c r="R100" s="209"/>
      <c r="S100" s="209"/>
      <c r="T100" s="209"/>
      <c r="U100" s="209"/>
      <c r="V100" s="209"/>
      <c r="W100" s="209"/>
      <c r="X100" s="209"/>
      <c r="Y100" s="241"/>
      <c r="Z100" s="241"/>
      <c r="AA100" s="241"/>
      <c r="AB100" s="241"/>
      <c r="AC100" s="241"/>
    </row>
    <row r="101" spans="2:29" x14ac:dyDescent="0.25">
      <c r="AB101" s="242"/>
      <c r="AC101" s="242"/>
    </row>
    <row r="103" spans="2:29" x14ac:dyDescent="0.25">
      <c r="B103" s="47"/>
    </row>
    <row r="104" spans="2:29" x14ac:dyDescent="0.25">
      <c r="B104" s="47"/>
    </row>
    <row r="105" spans="2:29" x14ac:dyDescent="0.25">
      <c r="B105" s="47"/>
    </row>
    <row r="106" spans="2:29" x14ac:dyDescent="0.25">
      <c r="B106" s="47"/>
    </row>
    <row r="109" spans="2:29" x14ac:dyDescent="0.25">
      <c r="D109" s="360"/>
      <c r="E109" s="360"/>
      <c r="F109" s="360"/>
    </row>
    <row r="110" spans="2:29" x14ac:dyDescent="0.25">
      <c r="D110" s="361"/>
      <c r="E110" s="361"/>
      <c r="F110" s="361"/>
    </row>
  </sheetData>
  <mergeCells count="9">
    <mergeCell ref="M5:N6"/>
    <mergeCell ref="F6:H6"/>
    <mergeCell ref="J95:K95"/>
    <mergeCell ref="M95:N95"/>
    <mergeCell ref="D109:F109"/>
    <mergeCell ref="D110:F110"/>
    <mergeCell ref="C5:E6"/>
    <mergeCell ref="F5:H5"/>
    <mergeCell ref="J5:K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6"/>
  <sheetViews>
    <sheetView tabSelected="1" workbookViewId="0">
      <selection activeCell="F76" sqref="F76"/>
    </sheetView>
  </sheetViews>
  <sheetFormatPr defaultRowHeight="15" x14ac:dyDescent="0.25"/>
  <cols>
    <col min="1" max="1" width="7.140625" customWidth="1"/>
    <col min="2" max="2" width="28.140625" customWidth="1"/>
    <col min="3" max="3" width="6.7109375" customWidth="1"/>
    <col min="4" max="4" width="5.7109375" customWidth="1"/>
    <col min="5" max="5" width="5.85546875" customWidth="1"/>
    <col min="6" max="6" width="11.7109375" style="283" customWidth="1"/>
    <col min="7" max="7" width="12.42578125" style="283" customWidth="1"/>
    <col min="8" max="8" width="17.28515625" customWidth="1"/>
    <col min="9" max="9" width="2" customWidth="1"/>
    <col min="10" max="10" width="11.42578125" customWidth="1"/>
    <col min="11" max="11" width="16.7109375" customWidth="1"/>
    <col min="12" max="12" width="2.7109375" style="4" customWidth="1"/>
    <col min="13" max="13" width="10.28515625" style="4" customWidth="1"/>
    <col min="14" max="14" width="9.140625" style="4" customWidth="1"/>
    <col min="15" max="23" width="9.140625" customWidth="1"/>
    <col min="24" max="24" width="11.5703125" customWidth="1"/>
    <col min="25" max="25" width="11.85546875" customWidth="1"/>
    <col min="26" max="26" width="15.7109375" customWidth="1"/>
    <col min="27" max="27" width="1.5703125" customWidth="1"/>
    <col min="28" max="28" width="10.5703125" customWidth="1"/>
    <col min="29" max="29" width="20.7109375" customWidth="1"/>
    <col min="30" max="30" width="2" customWidth="1"/>
    <col min="31" max="31" width="10.140625" customWidth="1"/>
    <col min="32" max="32" width="13.7109375" customWidth="1"/>
    <col min="33" max="33" width="16.5703125" customWidth="1"/>
    <col min="34" max="34" width="16" customWidth="1"/>
    <col min="35" max="244" width="9.42578125" customWidth="1"/>
    <col min="245" max="245" width="7.140625" customWidth="1"/>
    <col min="246" max="246" width="35.28515625" customWidth="1"/>
    <col min="247" max="247" width="6.7109375" customWidth="1"/>
    <col min="248" max="248" width="5.7109375" customWidth="1"/>
    <col min="249" max="249" width="5.85546875" customWidth="1"/>
    <col min="250" max="250" width="7.85546875" customWidth="1"/>
    <col min="257" max="257" width="7.140625" customWidth="1"/>
    <col min="258" max="258" width="39.42578125" customWidth="1"/>
    <col min="259" max="259" width="6.7109375" customWidth="1"/>
    <col min="260" max="260" width="5.7109375" customWidth="1"/>
    <col min="261" max="261" width="5.85546875" customWidth="1"/>
    <col min="262" max="262" width="7.85546875" customWidth="1"/>
    <col min="263" max="263" width="14.28515625" customWidth="1"/>
    <col min="264" max="264" width="14" customWidth="1"/>
    <col min="265" max="279" width="0" hidden="1" customWidth="1"/>
    <col min="280" max="280" width="11.5703125" customWidth="1"/>
    <col min="281" max="281" width="11.85546875" customWidth="1"/>
    <col min="282" max="282" width="15.7109375" customWidth="1"/>
    <col min="283" max="283" width="1.5703125" customWidth="1"/>
    <col min="284" max="284" width="10.5703125" customWidth="1"/>
    <col min="285" max="285" width="20.7109375" customWidth="1"/>
    <col min="286" max="286" width="2" customWidth="1"/>
    <col min="287" max="287" width="10.140625" customWidth="1"/>
    <col min="288" max="288" width="13.7109375" customWidth="1"/>
    <col min="289" max="289" width="16.5703125" customWidth="1"/>
    <col min="290" max="290" width="16" customWidth="1"/>
    <col min="291" max="500" width="9.42578125" customWidth="1"/>
    <col min="501" max="501" width="7.140625" customWidth="1"/>
    <col min="502" max="502" width="35.28515625" customWidth="1"/>
    <col min="503" max="503" width="6.7109375" customWidth="1"/>
    <col min="504" max="504" width="5.7109375" customWidth="1"/>
    <col min="505" max="505" width="5.85546875" customWidth="1"/>
    <col min="506" max="506" width="7.85546875" customWidth="1"/>
    <col min="513" max="513" width="7.140625" customWidth="1"/>
    <col min="514" max="514" width="39.42578125" customWidth="1"/>
    <col min="515" max="515" width="6.7109375" customWidth="1"/>
    <col min="516" max="516" width="5.7109375" customWidth="1"/>
    <col min="517" max="517" width="5.85546875" customWidth="1"/>
    <col min="518" max="518" width="7.85546875" customWidth="1"/>
    <col min="519" max="519" width="14.28515625" customWidth="1"/>
    <col min="520" max="520" width="14" customWidth="1"/>
    <col min="521" max="535" width="0" hidden="1" customWidth="1"/>
    <col min="536" max="536" width="11.5703125" customWidth="1"/>
    <col min="537" max="537" width="11.85546875" customWidth="1"/>
    <col min="538" max="538" width="15.7109375" customWidth="1"/>
    <col min="539" max="539" width="1.5703125" customWidth="1"/>
    <col min="540" max="540" width="10.5703125" customWidth="1"/>
    <col min="541" max="541" width="20.7109375" customWidth="1"/>
    <col min="542" max="542" width="2" customWidth="1"/>
    <col min="543" max="543" width="10.140625" customWidth="1"/>
    <col min="544" max="544" width="13.7109375" customWidth="1"/>
    <col min="545" max="545" width="16.5703125" customWidth="1"/>
    <col min="546" max="546" width="16" customWidth="1"/>
    <col min="547" max="756" width="9.42578125" customWidth="1"/>
    <col min="757" max="757" width="7.140625" customWidth="1"/>
    <col min="758" max="758" width="35.28515625" customWidth="1"/>
    <col min="759" max="759" width="6.7109375" customWidth="1"/>
    <col min="760" max="760" width="5.7109375" customWidth="1"/>
    <col min="761" max="761" width="5.85546875" customWidth="1"/>
    <col min="762" max="762" width="7.85546875" customWidth="1"/>
    <col min="769" max="769" width="7.140625" customWidth="1"/>
    <col min="770" max="770" width="39.42578125" customWidth="1"/>
    <col min="771" max="771" width="6.7109375" customWidth="1"/>
    <col min="772" max="772" width="5.7109375" customWidth="1"/>
    <col min="773" max="773" width="5.85546875" customWidth="1"/>
    <col min="774" max="774" width="7.85546875" customWidth="1"/>
    <col min="775" max="775" width="14.28515625" customWidth="1"/>
    <col min="776" max="776" width="14" customWidth="1"/>
    <col min="777" max="791" width="0" hidden="1" customWidth="1"/>
    <col min="792" max="792" width="11.5703125" customWidth="1"/>
    <col min="793" max="793" width="11.85546875" customWidth="1"/>
    <col min="794" max="794" width="15.7109375" customWidth="1"/>
    <col min="795" max="795" width="1.5703125" customWidth="1"/>
    <col min="796" max="796" width="10.5703125" customWidth="1"/>
    <col min="797" max="797" width="20.7109375" customWidth="1"/>
    <col min="798" max="798" width="2" customWidth="1"/>
    <col min="799" max="799" width="10.140625" customWidth="1"/>
    <col min="800" max="800" width="13.7109375" customWidth="1"/>
    <col min="801" max="801" width="16.5703125" customWidth="1"/>
    <col min="802" max="802" width="16" customWidth="1"/>
    <col min="803" max="1012" width="9.42578125" customWidth="1"/>
    <col min="1013" max="1013" width="7.140625" customWidth="1"/>
    <col min="1014" max="1014" width="35.28515625" customWidth="1"/>
    <col min="1015" max="1015" width="6.7109375" customWidth="1"/>
    <col min="1016" max="1016" width="5.7109375" customWidth="1"/>
    <col min="1017" max="1017" width="5.85546875" customWidth="1"/>
    <col min="1018" max="1018" width="7.85546875" customWidth="1"/>
    <col min="1025" max="1025" width="7.140625" customWidth="1"/>
    <col min="1026" max="1026" width="39.42578125" customWidth="1"/>
    <col min="1027" max="1027" width="6.7109375" customWidth="1"/>
    <col min="1028" max="1028" width="5.7109375" customWidth="1"/>
    <col min="1029" max="1029" width="5.85546875" customWidth="1"/>
    <col min="1030" max="1030" width="7.85546875" customWidth="1"/>
    <col min="1031" max="1031" width="14.28515625" customWidth="1"/>
    <col min="1032" max="1032" width="14" customWidth="1"/>
    <col min="1033" max="1047" width="0" hidden="1" customWidth="1"/>
    <col min="1048" max="1048" width="11.5703125" customWidth="1"/>
    <col min="1049" max="1049" width="11.85546875" customWidth="1"/>
    <col min="1050" max="1050" width="15.7109375" customWidth="1"/>
    <col min="1051" max="1051" width="1.5703125" customWidth="1"/>
    <col min="1052" max="1052" width="10.5703125" customWidth="1"/>
    <col min="1053" max="1053" width="20.7109375" customWidth="1"/>
    <col min="1054" max="1054" width="2" customWidth="1"/>
    <col min="1055" max="1055" width="10.140625" customWidth="1"/>
    <col min="1056" max="1056" width="13.7109375" customWidth="1"/>
    <col min="1057" max="1057" width="16.5703125" customWidth="1"/>
    <col min="1058" max="1058" width="16" customWidth="1"/>
    <col min="1059" max="1268" width="9.42578125" customWidth="1"/>
    <col min="1269" max="1269" width="7.140625" customWidth="1"/>
    <col min="1270" max="1270" width="35.28515625" customWidth="1"/>
    <col min="1271" max="1271" width="6.7109375" customWidth="1"/>
    <col min="1272" max="1272" width="5.7109375" customWidth="1"/>
    <col min="1273" max="1273" width="5.85546875" customWidth="1"/>
    <col min="1274" max="1274" width="7.85546875" customWidth="1"/>
    <col min="1281" max="1281" width="7.140625" customWidth="1"/>
    <col min="1282" max="1282" width="39.42578125" customWidth="1"/>
    <col min="1283" max="1283" width="6.7109375" customWidth="1"/>
    <col min="1284" max="1284" width="5.7109375" customWidth="1"/>
    <col min="1285" max="1285" width="5.85546875" customWidth="1"/>
    <col min="1286" max="1286" width="7.85546875" customWidth="1"/>
    <col min="1287" max="1287" width="14.28515625" customWidth="1"/>
    <col min="1288" max="1288" width="14" customWidth="1"/>
    <col min="1289" max="1303" width="0" hidden="1" customWidth="1"/>
    <col min="1304" max="1304" width="11.5703125" customWidth="1"/>
    <col min="1305" max="1305" width="11.85546875" customWidth="1"/>
    <col min="1306" max="1306" width="15.7109375" customWidth="1"/>
    <col min="1307" max="1307" width="1.5703125" customWidth="1"/>
    <col min="1308" max="1308" width="10.5703125" customWidth="1"/>
    <col min="1309" max="1309" width="20.7109375" customWidth="1"/>
    <col min="1310" max="1310" width="2" customWidth="1"/>
    <col min="1311" max="1311" width="10.140625" customWidth="1"/>
    <col min="1312" max="1312" width="13.7109375" customWidth="1"/>
    <col min="1313" max="1313" width="16.5703125" customWidth="1"/>
    <col min="1314" max="1314" width="16" customWidth="1"/>
    <col min="1315" max="1524" width="9.42578125" customWidth="1"/>
    <col min="1525" max="1525" width="7.140625" customWidth="1"/>
    <col min="1526" max="1526" width="35.28515625" customWidth="1"/>
    <col min="1527" max="1527" width="6.7109375" customWidth="1"/>
    <col min="1528" max="1528" width="5.7109375" customWidth="1"/>
    <col min="1529" max="1529" width="5.85546875" customWidth="1"/>
    <col min="1530" max="1530" width="7.85546875" customWidth="1"/>
    <col min="1537" max="1537" width="7.140625" customWidth="1"/>
    <col min="1538" max="1538" width="39.42578125" customWidth="1"/>
    <col min="1539" max="1539" width="6.7109375" customWidth="1"/>
    <col min="1540" max="1540" width="5.7109375" customWidth="1"/>
    <col min="1541" max="1541" width="5.85546875" customWidth="1"/>
    <col min="1542" max="1542" width="7.85546875" customWidth="1"/>
    <col min="1543" max="1543" width="14.28515625" customWidth="1"/>
    <col min="1544" max="1544" width="14" customWidth="1"/>
    <col min="1545" max="1559" width="0" hidden="1" customWidth="1"/>
    <col min="1560" max="1560" width="11.5703125" customWidth="1"/>
    <col min="1561" max="1561" width="11.85546875" customWidth="1"/>
    <col min="1562" max="1562" width="15.7109375" customWidth="1"/>
    <col min="1563" max="1563" width="1.5703125" customWidth="1"/>
    <col min="1564" max="1564" width="10.5703125" customWidth="1"/>
    <col min="1565" max="1565" width="20.7109375" customWidth="1"/>
    <col min="1566" max="1566" width="2" customWidth="1"/>
    <col min="1567" max="1567" width="10.140625" customWidth="1"/>
    <col min="1568" max="1568" width="13.7109375" customWidth="1"/>
    <col min="1569" max="1569" width="16.5703125" customWidth="1"/>
    <col min="1570" max="1570" width="16" customWidth="1"/>
    <col min="1571" max="1780" width="9.42578125" customWidth="1"/>
    <col min="1781" max="1781" width="7.140625" customWidth="1"/>
    <col min="1782" max="1782" width="35.28515625" customWidth="1"/>
    <col min="1783" max="1783" width="6.7109375" customWidth="1"/>
    <col min="1784" max="1784" width="5.7109375" customWidth="1"/>
    <col min="1785" max="1785" width="5.85546875" customWidth="1"/>
    <col min="1786" max="1786" width="7.85546875" customWidth="1"/>
    <col min="1793" max="1793" width="7.140625" customWidth="1"/>
    <col min="1794" max="1794" width="39.42578125" customWidth="1"/>
    <col min="1795" max="1795" width="6.7109375" customWidth="1"/>
    <col min="1796" max="1796" width="5.7109375" customWidth="1"/>
    <col min="1797" max="1797" width="5.85546875" customWidth="1"/>
    <col min="1798" max="1798" width="7.85546875" customWidth="1"/>
    <col min="1799" max="1799" width="14.28515625" customWidth="1"/>
    <col min="1800" max="1800" width="14" customWidth="1"/>
    <col min="1801" max="1815" width="0" hidden="1" customWidth="1"/>
    <col min="1816" max="1816" width="11.5703125" customWidth="1"/>
    <col min="1817" max="1817" width="11.85546875" customWidth="1"/>
    <col min="1818" max="1818" width="15.7109375" customWidth="1"/>
    <col min="1819" max="1819" width="1.5703125" customWidth="1"/>
    <col min="1820" max="1820" width="10.5703125" customWidth="1"/>
    <col min="1821" max="1821" width="20.7109375" customWidth="1"/>
    <col min="1822" max="1822" width="2" customWidth="1"/>
    <col min="1823" max="1823" width="10.140625" customWidth="1"/>
    <col min="1824" max="1824" width="13.7109375" customWidth="1"/>
    <col min="1825" max="1825" width="16.5703125" customWidth="1"/>
    <col min="1826" max="1826" width="16" customWidth="1"/>
    <col min="1827" max="2036" width="9.42578125" customWidth="1"/>
    <col min="2037" max="2037" width="7.140625" customWidth="1"/>
    <col min="2038" max="2038" width="35.28515625" customWidth="1"/>
    <col min="2039" max="2039" width="6.7109375" customWidth="1"/>
    <col min="2040" max="2040" width="5.7109375" customWidth="1"/>
    <col min="2041" max="2041" width="5.85546875" customWidth="1"/>
    <col min="2042" max="2042" width="7.85546875" customWidth="1"/>
    <col min="2049" max="2049" width="7.140625" customWidth="1"/>
    <col min="2050" max="2050" width="39.42578125" customWidth="1"/>
    <col min="2051" max="2051" width="6.7109375" customWidth="1"/>
    <col min="2052" max="2052" width="5.7109375" customWidth="1"/>
    <col min="2053" max="2053" width="5.85546875" customWidth="1"/>
    <col min="2054" max="2054" width="7.85546875" customWidth="1"/>
    <col min="2055" max="2055" width="14.28515625" customWidth="1"/>
    <col min="2056" max="2056" width="14" customWidth="1"/>
    <col min="2057" max="2071" width="0" hidden="1" customWidth="1"/>
    <col min="2072" max="2072" width="11.5703125" customWidth="1"/>
    <col min="2073" max="2073" width="11.85546875" customWidth="1"/>
    <col min="2074" max="2074" width="15.7109375" customWidth="1"/>
    <col min="2075" max="2075" width="1.5703125" customWidth="1"/>
    <col min="2076" max="2076" width="10.5703125" customWidth="1"/>
    <col min="2077" max="2077" width="20.7109375" customWidth="1"/>
    <col min="2078" max="2078" width="2" customWidth="1"/>
    <col min="2079" max="2079" width="10.140625" customWidth="1"/>
    <col min="2080" max="2080" width="13.7109375" customWidth="1"/>
    <col min="2081" max="2081" width="16.5703125" customWidth="1"/>
    <col min="2082" max="2082" width="16" customWidth="1"/>
    <col min="2083" max="2292" width="9.42578125" customWidth="1"/>
    <col min="2293" max="2293" width="7.140625" customWidth="1"/>
    <col min="2294" max="2294" width="35.28515625" customWidth="1"/>
    <col min="2295" max="2295" width="6.7109375" customWidth="1"/>
    <col min="2296" max="2296" width="5.7109375" customWidth="1"/>
    <col min="2297" max="2297" width="5.85546875" customWidth="1"/>
    <col min="2298" max="2298" width="7.85546875" customWidth="1"/>
    <col min="2305" max="2305" width="7.140625" customWidth="1"/>
    <col min="2306" max="2306" width="39.42578125" customWidth="1"/>
    <col min="2307" max="2307" width="6.7109375" customWidth="1"/>
    <col min="2308" max="2308" width="5.7109375" customWidth="1"/>
    <col min="2309" max="2309" width="5.85546875" customWidth="1"/>
    <col min="2310" max="2310" width="7.85546875" customWidth="1"/>
    <col min="2311" max="2311" width="14.28515625" customWidth="1"/>
    <col min="2312" max="2312" width="14" customWidth="1"/>
    <col min="2313" max="2327" width="0" hidden="1" customWidth="1"/>
    <col min="2328" max="2328" width="11.5703125" customWidth="1"/>
    <col min="2329" max="2329" width="11.85546875" customWidth="1"/>
    <col min="2330" max="2330" width="15.7109375" customWidth="1"/>
    <col min="2331" max="2331" width="1.5703125" customWidth="1"/>
    <col min="2332" max="2332" width="10.5703125" customWidth="1"/>
    <col min="2333" max="2333" width="20.7109375" customWidth="1"/>
    <col min="2334" max="2334" width="2" customWidth="1"/>
    <col min="2335" max="2335" width="10.140625" customWidth="1"/>
    <col min="2336" max="2336" width="13.7109375" customWidth="1"/>
    <col min="2337" max="2337" width="16.5703125" customWidth="1"/>
    <col min="2338" max="2338" width="16" customWidth="1"/>
    <col min="2339" max="2548" width="9.42578125" customWidth="1"/>
    <col min="2549" max="2549" width="7.140625" customWidth="1"/>
    <col min="2550" max="2550" width="35.28515625" customWidth="1"/>
    <col min="2551" max="2551" width="6.7109375" customWidth="1"/>
    <col min="2552" max="2552" width="5.7109375" customWidth="1"/>
    <col min="2553" max="2553" width="5.85546875" customWidth="1"/>
    <col min="2554" max="2554" width="7.85546875" customWidth="1"/>
    <col min="2561" max="2561" width="7.140625" customWidth="1"/>
    <col min="2562" max="2562" width="39.42578125" customWidth="1"/>
    <col min="2563" max="2563" width="6.7109375" customWidth="1"/>
    <col min="2564" max="2564" width="5.7109375" customWidth="1"/>
    <col min="2565" max="2565" width="5.85546875" customWidth="1"/>
    <col min="2566" max="2566" width="7.85546875" customWidth="1"/>
    <col min="2567" max="2567" width="14.28515625" customWidth="1"/>
    <col min="2568" max="2568" width="14" customWidth="1"/>
    <col min="2569" max="2583" width="0" hidden="1" customWidth="1"/>
    <col min="2584" max="2584" width="11.5703125" customWidth="1"/>
    <col min="2585" max="2585" width="11.85546875" customWidth="1"/>
    <col min="2586" max="2586" width="15.7109375" customWidth="1"/>
    <col min="2587" max="2587" width="1.5703125" customWidth="1"/>
    <col min="2588" max="2588" width="10.5703125" customWidth="1"/>
    <col min="2589" max="2589" width="20.7109375" customWidth="1"/>
    <col min="2590" max="2590" width="2" customWidth="1"/>
    <col min="2591" max="2591" width="10.140625" customWidth="1"/>
    <col min="2592" max="2592" width="13.7109375" customWidth="1"/>
    <col min="2593" max="2593" width="16.5703125" customWidth="1"/>
    <col min="2594" max="2594" width="16" customWidth="1"/>
    <col min="2595" max="2804" width="9.42578125" customWidth="1"/>
    <col min="2805" max="2805" width="7.140625" customWidth="1"/>
    <col min="2806" max="2806" width="35.28515625" customWidth="1"/>
    <col min="2807" max="2807" width="6.7109375" customWidth="1"/>
    <col min="2808" max="2808" width="5.7109375" customWidth="1"/>
    <col min="2809" max="2809" width="5.85546875" customWidth="1"/>
    <col min="2810" max="2810" width="7.85546875" customWidth="1"/>
    <col min="2817" max="2817" width="7.140625" customWidth="1"/>
    <col min="2818" max="2818" width="39.42578125" customWidth="1"/>
    <col min="2819" max="2819" width="6.7109375" customWidth="1"/>
    <col min="2820" max="2820" width="5.7109375" customWidth="1"/>
    <col min="2821" max="2821" width="5.85546875" customWidth="1"/>
    <col min="2822" max="2822" width="7.85546875" customWidth="1"/>
    <col min="2823" max="2823" width="14.28515625" customWidth="1"/>
    <col min="2824" max="2824" width="14" customWidth="1"/>
    <col min="2825" max="2839" width="0" hidden="1" customWidth="1"/>
    <col min="2840" max="2840" width="11.5703125" customWidth="1"/>
    <col min="2841" max="2841" width="11.85546875" customWidth="1"/>
    <col min="2842" max="2842" width="15.7109375" customWidth="1"/>
    <col min="2843" max="2843" width="1.5703125" customWidth="1"/>
    <col min="2844" max="2844" width="10.5703125" customWidth="1"/>
    <col min="2845" max="2845" width="20.7109375" customWidth="1"/>
    <col min="2846" max="2846" width="2" customWidth="1"/>
    <col min="2847" max="2847" width="10.140625" customWidth="1"/>
    <col min="2848" max="2848" width="13.7109375" customWidth="1"/>
    <col min="2849" max="2849" width="16.5703125" customWidth="1"/>
    <col min="2850" max="2850" width="16" customWidth="1"/>
    <col min="2851" max="3060" width="9.42578125" customWidth="1"/>
    <col min="3061" max="3061" width="7.140625" customWidth="1"/>
    <col min="3062" max="3062" width="35.28515625" customWidth="1"/>
    <col min="3063" max="3063" width="6.7109375" customWidth="1"/>
    <col min="3064" max="3064" width="5.7109375" customWidth="1"/>
    <col min="3065" max="3065" width="5.85546875" customWidth="1"/>
    <col min="3066" max="3066" width="7.85546875" customWidth="1"/>
    <col min="3073" max="3073" width="7.140625" customWidth="1"/>
    <col min="3074" max="3074" width="39.42578125" customWidth="1"/>
    <col min="3075" max="3075" width="6.7109375" customWidth="1"/>
    <col min="3076" max="3076" width="5.7109375" customWidth="1"/>
    <col min="3077" max="3077" width="5.85546875" customWidth="1"/>
    <col min="3078" max="3078" width="7.85546875" customWidth="1"/>
    <col min="3079" max="3079" width="14.28515625" customWidth="1"/>
    <col min="3080" max="3080" width="14" customWidth="1"/>
    <col min="3081" max="3095" width="0" hidden="1" customWidth="1"/>
    <col min="3096" max="3096" width="11.5703125" customWidth="1"/>
    <col min="3097" max="3097" width="11.85546875" customWidth="1"/>
    <col min="3098" max="3098" width="15.7109375" customWidth="1"/>
    <col min="3099" max="3099" width="1.5703125" customWidth="1"/>
    <col min="3100" max="3100" width="10.5703125" customWidth="1"/>
    <col min="3101" max="3101" width="20.7109375" customWidth="1"/>
    <col min="3102" max="3102" width="2" customWidth="1"/>
    <col min="3103" max="3103" width="10.140625" customWidth="1"/>
    <col min="3104" max="3104" width="13.7109375" customWidth="1"/>
    <col min="3105" max="3105" width="16.5703125" customWidth="1"/>
    <col min="3106" max="3106" width="16" customWidth="1"/>
    <col min="3107" max="3316" width="9.42578125" customWidth="1"/>
    <col min="3317" max="3317" width="7.140625" customWidth="1"/>
    <col min="3318" max="3318" width="35.28515625" customWidth="1"/>
    <col min="3319" max="3319" width="6.7109375" customWidth="1"/>
    <col min="3320" max="3320" width="5.7109375" customWidth="1"/>
    <col min="3321" max="3321" width="5.85546875" customWidth="1"/>
    <col min="3322" max="3322" width="7.85546875" customWidth="1"/>
    <col min="3329" max="3329" width="7.140625" customWidth="1"/>
    <col min="3330" max="3330" width="39.42578125" customWidth="1"/>
    <col min="3331" max="3331" width="6.7109375" customWidth="1"/>
    <col min="3332" max="3332" width="5.7109375" customWidth="1"/>
    <col min="3333" max="3333" width="5.85546875" customWidth="1"/>
    <col min="3334" max="3334" width="7.85546875" customWidth="1"/>
    <col min="3335" max="3335" width="14.28515625" customWidth="1"/>
    <col min="3336" max="3336" width="14" customWidth="1"/>
    <col min="3337" max="3351" width="0" hidden="1" customWidth="1"/>
    <col min="3352" max="3352" width="11.5703125" customWidth="1"/>
    <col min="3353" max="3353" width="11.85546875" customWidth="1"/>
    <col min="3354" max="3354" width="15.7109375" customWidth="1"/>
    <col min="3355" max="3355" width="1.5703125" customWidth="1"/>
    <col min="3356" max="3356" width="10.5703125" customWidth="1"/>
    <col min="3357" max="3357" width="20.7109375" customWidth="1"/>
    <col min="3358" max="3358" width="2" customWidth="1"/>
    <col min="3359" max="3359" width="10.140625" customWidth="1"/>
    <col min="3360" max="3360" width="13.7109375" customWidth="1"/>
    <col min="3361" max="3361" width="16.5703125" customWidth="1"/>
    <col min="3362" max="3362" width="16" customWidth="1"/>
    <col min="3363" max="3572" width="9.42578125" customWidth="1"/>
    <col min="3573" max="3573" width="7.140625" customWidth="1"/>
    <col min="3574" max="3574" width="35.28515625" customWidth="1"/>
    <col min="3575" max="3575" width="6.7109375" customWidth="1"/>
    <col min="3576" max="3576" width="5.7109375" customWidth="1"/>
    <col min="3577" max="3577" width="5.85546875" customWidth="1"/>
    <col min="3578" max="3578" width="7.85546875" customWidth="1"/>
    <col min="3585" max="3585" width="7.140625" customWidth="1"/>
    <col min="3586" max="3586" width="39.42578125" customWidth="1"/>
    <col min="3587" max="3587" width="6.7109375" customWidth="1"/>
    <col min="3588" max="3588" width="5.7109375" customWidth="1"/>
    <col min="3589" max="3589" width="5.85546875" customWidth="1"/>
    <col min="3590" max="3590" width="7.85546875" customWidth="1"/>
    <col min="3591" max="3591" width="14.28515625" customWidth="1"/>
    <col min="3592" max="3592" width="14" customWidth="1"/>
    <col min="3593" max="3607" width="0" hidden="1" customWidth="1"/>
    <col min="3608" max="3608" width="11.5703125" customWidth="1"/>
    <col min="3609" max="3609" width="11.85546875" customWidth="1"/>
    <col min="3610" max="3610" width="15.7109375" customWidth="1"/>
    <col min="3611" max="3611" width="1.5703125" customWidth="1"/>
    <col min="3612" max="3612" width="10.5703125" customWidth="1"/>
    <col min="3613" max="3613" width="20.7109375" customWidth="1"/>
    <col min="3614" max="3614" width="2" customWidth="1"/>
    <col min="3615" max="3615" width="10.140625" customWidth="1"/>
    <col min="3616" max="3616" width="13.7109375" customWidth="1"/>
    <col min="3617" max="3617" width="16.5703125" customWidth="1"/>
    <col min="3618" max="3618" width="16" customWidth="1"/>
    <col min="3619" max="3828" width="9.42578125" customWidth="1"/>
    <col min="3829" max="3829" width="7.140625" customWidth="1"/>
    <col min="3830" max="3830" width="35.28515625" customWidth="1"/>
    <col min="3831" max="3831" width="6.7109375" customWidth="1"/>
    <col min="3832" max="3832" width="5.7109375" customWidth="1"/>
    <col min="3833" max="3833" width="5.85546875" customWidth="1"/>
    <col min="3834" max="3834" width="7.85546875" customWidth="1"/>
    <col min="3841" max="3841" width="7.140625" customWidth="1"/>
    <col min="3842" max="3842" width="39.42578125" customWidth="1"/>
    <col min="3843" max="3843" width="6.7109375" customWidth="1"/>
    <col min="3844" max="3844" width="5.7109375" customWidth="1"/>
    <col min="3845" max="3845" width="5.85546875" customWidth="1"/>
    <col min="3846" max="3846" width="7.85546875" customWidth="1"/>
    <col min="3847" max="3847" width="14.28515625" customWidth="1"/>
    <col min="3848" max="3848" width="14" customWidth="1"/>
    <col min="3849" max="3863" width="0" hidden="1" customWidth="1"/>
    <col min="3864" max="3864" width="11.5703125" customWidth="1"/>
    <col min="3865" max="3865" width="11.85546875" customWidth="1"/>
    <col min="3866" max="3866" width="15.7109375" customWidth="1"/>
    <col min="3867" max="3867" width="1.5703125" customWidth="1"/>
    <col min="3868" max="3868" width="10.5703125" customWidth="1"/>
    <col min="3869" max="3869" width="20.7109375" customWidth="1"/>
    <col min="3870" max="3870" width="2" customWidth="1"/>
    <col min="3871" max="3871" width="10.140625" customWidth="1"/>
    <col min="3872" max="3872" width="13.7109375" customWidth="1"/>
    <col min="3873" max="3873" width="16.5703125" customWidth="1"/>
    <col min="3874" max="3874" width="16" customWidth="1"/>
    <col min="3875" max="4084" width="9.42578125" customWidth="1"/>
    <col min="4085" max="4085" width="7.140625" customWidth="1"/>
    <col min="4086" max="4086" width="35.28515625" customWidth="1"/>
    <col min="4087" max="4087" width="6.7109375" customWidth="1"/>
    <col min="4088" max="4088" width="5.7109375" customWidth="1"/>
    <col min="4089" max="4089" width="5.85546875" customWidth="1"/>
    <col min="4090" max="4090" width="7.85546875" customWidth="1"/>
    <col min="4097" max="4097" width="7.140625" customWidth="1"/>
    <col min="4098" max="4098" width="39.42578125" customWidth="1"/>
    <col min="4099" max="4099" width="6.7109375" customWidth="1"/>
    <col min="4100" max="4100" width="5.7109375" customWidth="1"/>
    <col min="4101" max="4101" width="5.85546875" customWidth="1"/>
    <col min="4102" max="4102" width="7.85546875" customWidth="1"/>
    <col min="4103" max="4103" width="14.28515625" customWidth="1"/>
    <col min="4104" max="4104" width="14" customWidth="1"/>
    <col min="4105" max="4119" width="0" hidden="1" customWidth="1"/>
    <col min="4120" max="4120" width="11.5703125" customWidth="1"/>
    <col min="4121" max="4121" width="11.85546875" customWidth="1"/>
    <col min="4122" max="4122" width="15.7109375" customWidth="1"/>
    <col min="4123" max="4123" width="1.5703125" customWidth="1"/>
    <col min="4124" max="4124" width="10.5703125" customWidth="1"/>
    <col min="4125" max="4125" width="20.7109375" customWidth="1"/>
    <col min="4126" max="4126" width="2" customWidth="1"/>
    <col min="4127" max="4127" width="10.140625" customWidth="1"/>
    <col min="4128" max="4128" width="13.7109375" customWidth="1"/>
    <col min="4129" max="4129" width="16.5703125" customWidth="1"/>
    <col min="4130" max="4130" width="16" customWidth="1"/>
    <col min="4131" max="4340" width="9.42578125" customWidth="1"/>
    <col min="4341" max="4341" width="7.140625" customWidth="1"/>
    <col min="4342" max="4342" width="35.28515625" customWidth="1"/>
    <col min="4343" max="4343" width="6.7109375" customWidth="1"/>
    <col min="4344" max="4344" width="5.7109375" customWidth="1"/>
    <col min="4345" max="4345" width="5.85546875" customWidth="1"/>
    <col min="4346" max="4346" width="7.85546875" customWidth="1"/>
    <col min="4353" max="4353" width="7.140625" customWidth="1"/>
    <col min="4354" max="4354" width="39.42578125" customWidth="1"/>
    <col min="4355" max="4355" width="6.7109375" customWidth="1"/>
    <col min="4356" max="4356" width="5.7109375" customWidth="1"/>
    <col min="4357" max="4357" width="5.85546875" customWidth="1"/>
    <col min="4358" max="4358" width="7.85546875" customWidth="1"/>
    <col min="4359" max="4359" width="14.28515625" customWidth="1"/>
    <col min="4360" max="4360" width="14" customWidth="1"/>
    <col min="4361" max="4375" width="0" hidden="1" customWidth="1"/>
    <col min="4376" max="4376" width="11.5703125" customWidth="1"/>
    <col min="4377" max="4377" width="11.85546875" customWidth="1"/>
    <col min="4378" max="4378" width="15.7109375" customWidth="1"/>
    <col min="4379" max="4379" width="1.5703125" customWidth="1"/>
    <col min="4380" max="4380" width="10.5703125" customWidth="1"/>
    <col min="4381" max="4381" width="20.7109375" customWidth="1"/>
    <col min="4382" max="4382" width="2" customWidth="1"/>
    <col min="4383" max="4383" width="10.140625" customWidth="1"/>
    <col min="4384" max="4384" width="13.7109375" customWidth="1"/>
    <col min="4385" max="4385" width="16.5703125" customWidth="1"/>
    <col min="4386" max="4386" width="16" customWidth="1"/>
    <col min="4387" max="4596" width="9.42578125" customWidth="1"/>
    <col min="4597" max="4597" width="7.140625" customWidth="1"/>
    <col min="4598" max="4598" width="35.28515625" customWidth="1"/>
    <col min="4599" max="4599" width="6.7109375" customWidth="1"/>
    <col min="4600" max="4600" width="5.7109375" customWidth="1"/>
    <col min="4601" max="4601" width="5.85546875" customWidth="1"/>
    <col min="4602" max="4602" width="7.85546875" customWidth="1"/>
    <col min="4609" max="4609" width="7.140625" customWidth="1"/>
    <col min="4610" max="4610" width="39.42578125" customWidth="1"/>
    <col min="4611" max="4611" width="6.7109375" customWidth="1"/>
    <col min="4612" max="4612" width="5.7109375" customWidth="1"/>
    <col min="4613" max="4613" width="5.85546875" customWidth="1"/>
    <col min="4614" max="4614" width="7.85546875" customWidth="1"/>
    <col min="4615" max="4615" width="14.28515625" customWidth="1"/>
    <col min="4616" max="4616" width="14" customWidth="1"/>
    <col min="4617" max="4631" width="0" hidden="1" customWidth="1"/>
    <col min="4632" max="4632" width="11.5703125" customWidth="1"/>
    <col min="4633" max="4633" width="11.85546875" customWidth="1"/>
    <col min="4634" max="4634" width="15.7109375" customWidth="1"/>
    <col min="4635" max="4635" width="1.5703125" customWidth="1"/>
    <col min="4636" max="4636" width="10.5703125" customWidth="1"/>
    <col min="4637" max="4637" width="20.7109375" customWidth="1"/>
    <col min="4638" max="4638" width="2" customWidth="1"/>
    <col min="4639" max="4639" width="10.140625" customWidth="1"/>
    <col min="4640" max="4640" width="13.7109375" customWidth="1"/>
    <col min="4641" max="4641" width="16.5703125" customWidth="1"/>
    <col min="4642" max="4642" width="16" customWidth="1"/>
    <col min="4643" max="4852" width="9.42578125" customWidth="1"/>
    <col min="4853" max="4853" width="7.140625" customWidth="1"/>
    <col min="4854" max="4854" width="35.28515625" customWidth="1"/>
    <col min="4855" max="4855" width="6.7109375" customWidth="1"/>
    <col min="4856" max="4856" width="5.7109375" customWidth="1"/>
    <col min="4857" max="4857" width="5.85546875" customWidth="1"/>
    <col min="4858" max="4858" width="7.85546875" customWidth="1"/>
    <col min="4865" max="4865" width="7.140625" customWidth="1"/>
    <col min="4866" max="4866" width="39.42578125" customWidth="1"/>
    <col min="4867" max="4867" width="6.7109375" customWidth="1"/>
    <col min="4868" max="4868" width="5.7109375" customWidth="1"/>
    <col min="4869" max="4869" width="5.85546875" customWidth="1"/>
    <col min="4870" max="4870" width="7.85546875" customWidth="1"/>
    <col min="4871" max="4871" width="14.28515625" customWidth="1"/>
    <col min="4872" max="4872" width="14" customWidth="1"/>
    <col min="4873" max="4887" width="0" hidden="1" customWidth="1"/>
    <col min="4888" max="4888" width="11.5703125" customWidth="1"/>
    <col min="4889" max="4889" width="11.85546875" customWidth="1"/>
    <col min="4890" max="4890" width="15.7109375" customWidth="1"/>
    <col min="4891" max="4891" width="1.5703125" customWidth="1"/>
    <col min="4892" max="4892" width="10.5703125" customWidth="1"/>
    <col min="4893" max="4893" width="20.7109375" customWidth="1"/>
    <col min="4894" max="4894" width="2" customWidth="1"/>
    <col min="4895" max="4895" width="10.140625" customWidth="1"/>
    <col min="4896" max="4896" width="13.7109375" customWidth="1"/>
    <col min="4897" max="4897" width="16.5703125" customWidth="1"/>
    <col min="4898" max="4898" width="16" customWidth="1"/>
    <col min="4899" max="5108" width="9.42578125" customWidth="1"/>
    <col min="5109" max="5109" width="7.140625" customWidth="1"/>
    <col min="5110" max="5110" width="35.28515625" customWidth="1"/>
    <col min="5111" max="5111" width="6.7109375" customWidth="1"/>
    <col min="5112" max="5112" width="5.7109375" customWidth="1"/>
    <col min="5113" max="5113" width="5.85546875" customWidth="1"/>
    <col min="5114" max="5114" width="7.85546875" customWidth="1"/>
    <col min="5121" max="5121" width="7.140625" customWidth="1"/>
    <col min="5122" max="5122" width="39.42578125" customWidth="1"/>
    <col min="5123" max="5123" width="6.7109375" customWidth="1"/>
    <col min="5124" max="5124" width="5.7109375" customWidth="1"/>
    <col min="5125" max="5125" width="5.85546875" customWidth="1"/>
    <col min="5126" max="5126" width="7.85546875" customWidth="1"/>
    <col min="5127" max="5127" width="14.28515625" customWidth="1"/>
    <col min="5128" max="5128" width="14" customWidth="1"/>
    <col min="5129" max="5143" width="0" hidden="1" customWidth="1"/>
    <col min="5144" max="5144" width="11.5703125" customWidth="1"/>
    <col min="5145" max="5145" width="11.85546875" customWidth="1"/>
    <col min="5146" max="5146" width="15.7109375" customWidth="1"/>
    <col min="5147" max="5147" width="1.5703125" customWidth="1"/>
    <col min="5148" max="5148" width="10.5703125" customWidth="1"/>
    <col min="5149" max="5149" width="20.7109375" customWidth="1"/>
    <col min="5150" max="5150" width="2" customWidth="1"/>
    <col min="5151" max="5151" width="10.140625" customWidth="1"/>
    <col min="5152" max="5152" width="13.7109375" customWidth="1"/>
    <col min="5153" max="5153" width="16.5703125" customWidth="1"/>
    <col min="5154" max="5154" width="16" customWidth="1"/>
    <col min="5155" max="5364" width="9.42578125" customWidth="1"/>
    <col min="5365" max="5365" width="7.140625" customWidth="1"/>
    <col min="5366" max="5366" width="35.28515625" customWidth="1"/>
    <col min="5367" max="5367" width="6.7109375" customWidth="1"/>
    <col min="5368" max="5368" width="5.7109375" customWidth="1"/>
    <col min="5369" max="5369" width="5.85546875" customWidth="1"/>
    <col min="5370" max="5370" width="7.85546875" customWidth="1"/>
    <col min="5377" max="5377" width="7.140625" customWidth="1"/>
    <col min="5378" max="5378" width="39.42578125" customWidth="1"/>
    <col min="5379" max="5379" width="6.7109375" customWidth="1"/>
    <col min="5380" max="5380" width="5.7109375" customWidth="1"/>
    <col min="5381" max="5381" width="5.85546875" customWidth="1"/>
    <col min="5382" max="5382" width="7.85546875" customWidth="1"/>
    <col min="5383" max="5383" width="14.28515625" customWidth="1"/>
    <col min="5384" max="5384" width="14" customWidth="1"/>
    <col min="5385" max="5399" width="0" hidden="1" customWidth="1"/>
    <col min="5400" max="5400" width="11.5703125" customWidth="1"/>
    <col min="5401" max="5401" width="11.85546875" customWidth="1"/>
    <col min="5402" max="5402" width="15.7109375" customWidth="1"/>
    <col min="5403" max="5403" width="1.5703125" customWidth="1"/>
    <col min="5404" max="5404" width="10.5703125" customWidth="1"/>
    <col min="5405" max="5405" width="20.7109375" customWidth="1"/>
    <col min="5406" max="5406" width="2" customWidth="1"/>
    <col min="5407" max="5407" width="10.140625" customWidth="1"/>
    <col min="5408" max="5408" width="13.7109375" customWidth="1"/>
    <col min="5409" max="5409" width="16.5703125" customWidth="1"/>
    <col min="5410" max="5410" width="16" customWidth="1"/>
    <col min="5411" max="5620" width="9.42578125" customWidth="1"/>
    <col min="5621" max="5621" width="7.140625" customWidth="1"/>
    <col min="5622" max="5622" width="35.28515625" customWidth="1"/>
    <col min="5623" max="5623" width="6.7109375" customWidth="1"/>
    <col min="5624" max="5624" width="5.7109375" customWidth="1"/>
    <col min="5625" max="5625" width="5.85546875" customWidth="1"/>
    <col min="5626" max="5626" width="7.85546875" customWidth="1"/>
    <col min="5633" max="5633" width="7.140625" customWidth="1"/>
    <col min="5634" max="5634" width="39.42578125" customWidth="1"/>
    <col min="5635" max="5635" width="6.7109375" customWidth="1"/>
    <col min="5636" max="5636" width="5.7109375" customWidth="1"/>
    <col min="5637" max="5637" width="5.85546875" customWidth="1"/>
    <col min="5638" max="5638" width="7.85546875" customWidth="1"/>
    <col min="5639" max="5639" width="14.28515625" customWidth="1"/>
    <col min="5640" max="5640" width="14" customWidth="1"/>
    <col min="5641" max="5655" width="0" hidden="1" customWidth="1"/>
    <col min="5656" max="5656" width="11.5703125" customWidth="1"/>
    <col min="5657" max="5657" width="11.85546875" customWidth="1"/>
    <col min="5658" max="5658" width="15.7109375" customWidth="1"/>
    <col min="5659" max="5659" width="1.5703125" customWidth="1"/>
    <col min="5660" max="5660" width="10.5703125" customWidth="1"/>
    <col min="5661" max="5661" width="20.7109375" customWidth="1"/>
    <col min="5662" max="5662" width="2" customWidth="1"/>
    <col min="5663" max="5663" width="10.140625" customWidth="1"/>
    <col min="5664" max="5664" width="13.7109375" customWidth="1"/>
    <col min="5665" max="5665" width="16.5703125" customWidth="1"/>
    <col min="5666" max="5666" width="16" customWidth="1"/>
    <col min="5667" max="5876" width="9.42578125" customWidth="1"/>
    <col min="5877" max="5877" width="7.140625" customWidth="1"/>
    <col min="5878" max="5878" width="35.28515625" customWidth="1"/>
    <col min="5879" max="5879" width="6.7109375" customWidth="1"/>
    <col min="5880" max="5880" width="5.7109375" customWidth="1"/>
    <col min="5881" max="5881" width="5.85546875" customWidth="1"/>
    <col min="5882" max="5882" width="7.85546875" customWidth="1"/>
    <col min="5889" max="5889" width="7.140625" customWidth="1"/>
    <col min="5890" max="5890" width="39.42578125" customWidth="1"/>
    <col min="5891" max="5891" width="6.7109375" customWidth="1"/>
    <col min="5892" max="5892" width="5.7109375" customWidth="1"/>
    <col min="5893" max="5893" width="5.85546875" customWidth="1"/>
    <col min="5894" max="5894" width="7.85546875" customWidth="1"/>
    <col min="5895" max="5895" width="14.28515625" customWidth="1"/>
    <col min="5896" max="5896" width="14" customWidth="1"/>
    <col min="5897" max="5911" width="0" hidden="1" customWidth="1"/>
    <col min="5912" max="5912" width="11.5703125" customWidth="1"/>
    <col min="5913" max="5913" width="11.85546875" customWidth="1"/>
    <col min="5914" max="5914" width="15.7109375" customWidth="1"/>
    <col min="5915" max="5915" width="1.5703125" customWidth="1"/>
    <col min="5916" max="5916" width="10.5703125" customWidth="1"/>
    <col min="5917" max="5917" width="20.7109375" customWidth="1"/>
    <col min="5918" max="5918" width="2" customWidth="1"/>
    <col min="5919" max="5919" width="10.140625" customWidth="1"/>
    <col min="5920" max="5920" width="13.7109375" customWidth="1"/>
    <col min="5921" max="5921" width="16.5703125" customWidth="1"/>
    <col min="5922" max="5922" width="16" customWidth="1"/>
    <col min="5923" max="6132" width="9.42578125" customWidth="1"/>
    <col min="6133" max="6133" width="7.140625" customWidth="1"/>
    <col min="6134" max="6134" width="35.28515625" customWidth="1"/>
    <col min="6135" max="6135" width="6.7109375" customWidth="1"/>
    <col min="6136" max="6136" width="5.7109375" customWidth="1"/>
    <col min="6137" max="6137" width="5.85546875" customWidth="1"/>
    <col min="6138" max="6138" width="7.85546875" customWidth="1"/>
    <col min="6145" max="6145" width="7.140625" customWidth="1"/>
    <col min="6146" max="6146" width="39.42578125" customWidth="1"/>
    <col min="6147" max="6147" width="6.7109375" customWidth="1"/>
    <col min="6148" max="6148" width="5.7109375" customWidth="1"/>
    <col min="6149" max="6149" width="5.85546875" customWidth="1"/>
    <col min="6150" max="6150" width="7.85546875" customWidth="1"/>
    <col min="6151" max="6151" width="14.28515625" customWidth="1"/>
    <col min="6152" max="6152" width="14" customWidth="1"/>
    <col min="6153" max="6167" width="0" hidden="1" customWidth="1"/>
    <col min="6168" max="6168" width="11.5703125" customWidth="1"/>
    <col min="6169" max="6169" width="11.85546875" customWidth="1"/>
    <col min="6170" max="6170" width="15.7109375" customWidth="1"/>
    <col min="6171" max="6171" width="1.5703125" customWidth="1"/>
    <col min="6172" max="6172" width="10.5703125" customWidth="1"/>
    <col min="6173" max="6173" width="20.7109375" customWidth="1"/>
    <col min="6174" max="6174" width="2" customWidth="1"/>
    <col min="6175" max="6175" width="10.140625" customWidth="1"/>
    <col min="6176" max="6176" width="13.7109375" customWidth="1"/>
    <col min="6177" max="6177" width="16.5703125" customWidth="1"/>
    <col min="6178" max="6178" width="16" customWidth="1"/>
    <col min="6179" max="6388" width="9.42578125" customWidth="1"/>
    <col min="6389" max="6389" width="7.140625" customWidth="1"/>
    <col min="6390" max="6390" width="35.28515625" customWidth="1"/>
    <col min="6391" max="6391" width="6.7109375" customWidth="1"/>
    <col min="6392" max="6392" width="5.7109375" customWidth="1"/>
    <col min="6393" max="6393" width="5.85546875" customWidth="1"/>
    <col min="6394" max="6394" width="7.85546875" customWidth="1"/>
    <col min="6401" max="6401" width="7.140625" customWidth="1"/>
    <col min="6402" max="6402" width="39.42578125" customWidth="1"/>
    <col min="6403" max="6403" width="6.7109375" customWidth="1"/>
    <col min="6404" max="6404" width="5.7109375" customWidth="1"/>
    <col min="6405" max="6405" width="5.85546875" customWidth="1"/>
    <col min="6406" max="6406" width="7.85546875" customWidth="1"/>
    <col min="6407" max="6407" width="14.28515625" customWidth="1"/>
    <col min="6408" max="6408" width="14" customWidth="1"/>
    <col min="6409" max="6423" width="0" hidden="1" customWidth="1"/>
    <col min="6424" max="6424" width="11.5703125" customWidth="1"/>
    <col min="6425" max="6425" width="11.85546875" customWidth="1"/>
    <col min="6426" max="6426" width="15.7109375" customWidth="1"/>
    <col min="6427" max="6427" width="1.5703125" customWidth="1"/>
    <col min="6428" max="6428" width="10.5703125" customWidth="1"/>
    <col min="6429" max="6429" width="20.7109375" customWidth="1"/>
    <col min="6430" max="6430" width="2" customWidth="1"/>
    <col min="6431" max="6431" width="10.140625" customWidth="1"/>
    <col min="6432" max="6432" width="13.7109375" customWidth="1"/>
    <col min="6433" max="6433" width="16.5703125" customWidth="1"/>
    <col min="6434" max="6434" width="16" customWidth="1"/>
    <col min="6435" max="6644" width="9.42578125" customWidth="1"/>
    <col min="6645" max="6645" width="7.140625" customWidth="1"/>
    <col min="6646" max="6646" width="35.28515625" customWidth="1"/>
    <col min="6647" max="6647" width="6.7109375" customWidth="1"/>
    <col min="6648" max="6648" width="5.7109375" customWidth="1"/>
    <col min="6649" max="6649" width="5.85546875" customWidth="1"/>
    <col min="6650" max="6650" width="7.85546875" customWidth="1"/>
    <col min="6657" max="6657" width="7.140625" customWidth="1"/>
    <col min="6658" max="6658" width="39.42578125" customWidth="1"/>
    <col min="6659" max="6659" width="6.7109375" customWidth="1"/>
    <col min="6660" max="6660" width="5.7109375" customWidth="1"/>
    <col min="6661" max="6661" width="5.85546875" customWidth="1"/>
    <col min="6662" max="6662" width="7.85546875" customWidth="1"/>
    <col min="6663" max="6663" width="14.28515625" customWidth="1"/>
    <col min="6664" max="6664" width="14" customWidth="1"/>
    <col min="6665" max="6679" width="0" hidden="1" customWidth="1"/>
    <col min="6680" max="6680" width="11.5703125" customWidth="1"/>
    <col min="6681" max="6681" width="11.85546875" customWidth="1"/>
    <col min="6682" max="6682" width="15.7109375" customWidth="1"/>
    <col min="6683" max="6683" width="1.5703125" customWidth="1"/>
    <col min="6684" max="6684" width="10.5703125" customWidth="1"/>
    <col min="6685" max="6685" width="20.7109375" customWidth="1"/>
    <col min="6686" max="6686" width="2" customWidth="1"/>
    <col min="6687" max="6687" width="10.140625" customWidth="1"/>
    <col min="6688" max="6688" width="13.7109375" customWidth="1"/>
    <col min="6689" max="6689" width="16.5703125" customWidth="1"/>
    <col min="6690" max="6690" width="16" customWidth="1"/>
    <col min="6691" max="6900" width="9.42578125" customWidth="1"/>
    <col min="6901" max="6901" width="7.140625" customWidth="1"/>
    <col min="6902" max="6902" width="35.28515625" customWidth="1"/>
    <col min="6903" max="6903" width="6.7109375" customWidth="1"/>
    <col min="6904" max="6904" width="5.7109375" customWidth="1"/>
    <col min="6905" max="6905" width="5.85546875" customWidth="1"/>
    <col min="6906" max="6906" width="7.85546875" customWidth="1"/>
    <col min="6913" max="6913" width="7.140625" customWidth="1"/>
    <col min="6914" max="6914" width="39.42578125" customWidth="1"/>
    <col min="6915" max="6915" width="6.7109375" customWidth="1"/>
    <col min="6916" max="6916" width="5.7109375" customWidth="1"/>
    <col min="6917" max="6917" width="5.85546875" customWidth="1"/>
    <col min="6918" max="6918" width="7.85546875" customWidth="1"/>
    <col min="6919" max="6919" width="14.28515625" customWidth="1"/>
    <col min="6920" max="6920" width="14" customWidth="1"/>
    <col min="6921" max="6935" width="0" hidden="1" customWidth="1"/>
    <col min="6936" max="6936" width="11.5703125" customWidth="1"/>
    <col min="6937" max="6937" width="11.85546875" customWidth="1"/>
    <col min="6938" max="6938" width="15.7109375" customWidth="1"/>
    <col min="6939" max="6939" width="1.5703125" customWidth="1"/>
    <col min="6940" max="6940" width="10.5703125" customWidth="1"/>
    <col min="6941" max="6941" width="20.7109375" customWidth="1"/>
    <col min="6942" max="6942" width="2" customWidth="1"/>
    <col min="6943" max="6943" width="10.140625" customWidth="1"/>
    <col min="6944" max="6944" width="13.7109375" customWidth="1"/>
    <col min="6945" max="6945" width="16.5703125" customWidth="1"/>
    <col min="6946" max="6946" width="16" customWidth="1"/>
    <col min="6947" max="7156" width="9.42578125" customWidth="1"/>
    <col min="7157" max="7157" width="7.140625" customWidth="1"/>
    <col min="7158" max="7158" width="35.28515625" customWidth="1"/>
    <col min="7159" max="7159" width="6.7109375" customWidth="1"/>
    <col min="7160" max="7160" width="5.7109375" customWidth="1"/>
    <col min="7161" max="7161" width="5.85546875" customWidth="1"/>
    <col min="7162" max="7162" width="7.85546875" customWidth="1"/>
    <col min="7169" max="7169" width="7.140625" customWidth="1"/>
    <col min="7170" max="7170" width="39.42578125" customWidth="1"/>
    <col min="7171" max="7171" width="6.7109375" customWidth="1"/>
    <col min="7172" max="7172" width="5.7109375" customWidth="1"/>
    <col min="7173" max="7173" width="5.85546875" customWidth="1"/>
    <col min="7174" max="7174" width="7.85546875" customWidth="1"/>
    <col min="7175" max="7175" width="14.28515625" customWidth="1"/>
    <col min="7176" max="7176" width="14" customWidth="1"/>
    <col min="7177" max="7191" width="0" hidden="1" customWidth="1"/>
    <col min="7192" max="7192" width="11.5703125" customWidth="1"/>
    <col min="7193" max="7193" width="11.85546875" customWidth="1"/>
    <col min="7194" max="7194" width="15.7109375" customWidth="1"/>
    <col min="7195" max="7195" width="1.5703125" customWidth="1"/>
    <col min="7196" max="7196" width="10.5703125" customWidth="1"/>
    <col min="7197" max="7197" width="20.7109375" customWidth="1"/>
    <col min="7198" max="7198" width="2" customWidth="1"/>
    <col min="7199" max="7199" width="10.140625" customWidth="1"/>
    <col min="7200" max="7200" width="13.7109375" customWidth="1"/>
    <col min="7201" max="7201" width="16.5703125" customWidth="1"/>
    <col min="7202" max="7202" width="16" customWidth="1"/>
    <col min="7203" max="7412" width="9.42578125" customWidth="1"/>
    <col min="7413" max="7413" width="7.140625" customWidth="1"/>
    <col min="7414" max="7414" width="35.28515625" customWidth="1"/>
    <col min="7415" max="7415" width="6.7109375" customWidth="1"/>
    <col min="7416" max="7416" width="5.7109375" customWidth="1"/>
    <col min="7417" max="7417" width="5.85546875" customWidth="1"/>
    <col min="7418" max="7418" width="7.85546875" customWidth="1"/>
    <col min="7425" max="7425" width="7.140625" customWidth="1"/>
    <col min="7426" max="7426" width="39.42578125" customWidth="1"/>
    <col min="7427" max="7427" width="6.7109375" customWidth="1"/>
    <col min="7428" max="7428" width="5.7109375" customWidth="1"/>
    <col min="7429" max="7429" width="5.85546875" customWidth="1"/>
    <col min="7430" max="7430" width="7.85546875" customWidth="1"/>
    <col min="7431" max="7431" width="14.28515625" customWidth="1"/>
    <col min="7432" max="7432" width="14" customWidth="1"/>
    <col min="7433" max="7447" width="0" hidden="1" customWidth="1"/>
    <col min="7448" max="7448" width="11.5703125" customWidth="1"/>
    <col min="7449" max="7449" width="11.85546875" customWidth="1"/>
    <col min="7450" max="7450" width="15.7109375" customWidth="1"/>
    <col min="7451" max="7451" width="1.5703125" customWidth="1"/>
    <col min="7452" max="7452" width="10.5703125" customWidth="1"/>
    <col min="7453" max="7453" width="20.7109375" customWidth="1"/>
    <col min="7454" max="7454" width="2" customWidth="1"/>
    <col min="7455" max="7455" width="10.140625" customWidth="1"/>
    <col min="7456" max="7456" width="13.7109375" customWidth="1"/>
    <col min="7457" max="7457" width="16.5703125" customWidth="1"/>
    <col min="7458" max="7458" width="16" customWidth="1"/>
    <col min="7459" max="7668" width="9.42578125" customWidth="1"/>
    <col min="7669" max="7669" width="7.140625" customWidth="1"/>
    <col min="7670" max="7670" width="35.28515625" customWidth="1"/>
    <col min="7671" max="7671" width="6.7109375" customWidth="1"/>
    <col min="7672" max="7672" width="5.7109375" customWidth="1"/>
    <col min="7673" max="7673" width="5.85546875" customWidth="1"/>
    <col min="7674" max="7674" width="7.85546875" customWidth="1"/>
    <col min="7681" max="7681" width="7.140625" customWidth="1"/>
    <col min="7682" max="7682" width="39.42578125" customWidth="1"/>
    <col min="7683" max="7683" width="6.7109375" customWidth="1"/>
    <col min="7684" max="7684" width="5.7109375" customWidth="1"/>
    <col min="7685" max="7685" width="5.85546875" customWidth="1"/>
    <col min="7686" max="7686" width="7.85546875" customWidth="1"/>
    <col min="7687" max="7687" width="14.28515625" customWidth="1"/>
    <col min="7688" max="7688" width="14" customWidth="1"/>
    <col min="7689" max="7703" width="0" hidden="1" customWidth="1"/>
    <col min="7704" max="7704" width="11.5703125" customWidth="1"/>
    <col min="7705" max="7705" width="11.85546875" customWidth="1"/>
    <col min="7706" max="7706" width="15.7109375" customWidth="1"/>
    <col min="7707" max="7707" width="1.5703125" customWidth="1"/>
    <col min="7708" max="7708" width="10.5703125" customWidth="1"/>
    <col min="7709" max="7709" width="20.7109375" customWidth="1"/>
    <col min="7710" max="7710" width="2" customWidth="1"/>
    <col min="7711" max="7711" width="10.140625" customWidth="1"/>
    <col min="7712" max="7712" width="13.7109375" customWidth="1"/>
    <col min="7713" max="7713" width="16.5703125" customWidth="1"/>
    <col min="7714" max="7714" width="16" customWidth="1"/>
    <col min="7715" max="7924" width="9.42578125" customWidth="1"/>
    <col min="7925" max="7925" width="7.140625" customWidth="1"/>
    <col min="7926" max="7926" width="35.28515625" customWidth="1"/>
    <col min="7927" max="7927" width="6.7109375" customWidth="1"/>
    <col min="7928" max="7928" width="5.7109375" customWidth="1"/>
    <col min="7929" max="7929" width="5.85546875" customWidth="1"/>
    <col min="7930" max="7930" width="7.85546875" customWidth="1"/>
    <col min="7937" max="7937" width="7.140625" customWidth="1"/>
    <col min="7938" max="7938" width="39.42578125" customWidth="1"/>
    <col min="7939" max="7939" width="6.7109375" customWidth="1"/>
    <col min="7940" max="7940" width="5.7109375" customWidth="1"/>
    <col min="7941" max="7941" width="5.85546875" customWidth="1"/>
    <col min="7942" max="7942" width="7.85546875" customWidth="1"/>
    <col min="7943" max="7943" width="14.28515625" customWidth="1"/>
    <col min="7944" max="7944" width="14" customWidth="1"/>
    <col min="7945" max="7959" width="0" hidden="1" customWidth="1"/>
    <col min="7960" max="7960" width="11.5703125" customWidth="1"/>
    <col min="7961" max="7961" width="11.85546875" customWidth="1"/>
    <col min="7962" max="7962" width="15.7109375" customWidth="1"/>
    <col min="7963" max="7963" width="1.5703125" customWidth="1"/>
    <col min="7964" max="7964" width="10.5703125" customWidth="1"/>
    <col min="7965" max="7965" width="20.7109375" customWidth="1"/>
    <col min="7966" max="7966" width="2" customWidth="1"/>
    <col min="7967" max="7967" width="10.140625" customWidth="1"/>
    <col min="7968" max="7968" width="13.7109375" customWidth="1"/>
    <col min="7969" max="7969" width="16.5703125" customWidth="1"/>
    <col min="7970" max="7970" width="16" customWidth="1"/>
    <col min="7971" max="8180" width="9.42578125" customWidth="1"/>
    <col min="8181" max="8181" width="7.140625" customWidth="1"/>
    <col min="8182" max="8182" width="35.28515625" customWidth="1"/>
    <col min="8183" max="8183" width="6.7109375" customWidth="1"/>
    <col min="8184" max="8184" width="5.7109375" customWidth="1"/>
    <col min="8185" max="8185" width="5.85546875" customWidth="1"/>
    <col min="8186" max="8186" width="7.85546875" customWidth="1"/>
    <col min="8193" max="8193" width="7.140625" customWidth="1"/>
    <col min="8194" max="8194" width="39.42578125" customWidth="1"/>
    <col min="8195" max="8195" width="6.7109375" customWidth="1"/>
    <col min="8196" max="8196" width="5.7109375" customWidth="1"/>
    <col min="8197" max="8197" width="5.85546875" customWidth="1"/>
    <col min="8198" max="8198" width="7.85546875" customWidth="1"/>
    <col min="8199" max="8199" width="14.28515625" customWidth="1"/>
    <col min="8200" max="8200" width="14" customWidth="1"/>
    <col min="8201" max="8215" width="0" hidden="1" customWidth="1"/>
    <col min="8216" max="8216" width="11.5703125" customWidth="1"/>
    <col min="8217" max="8217" width="11.85546875" customWidth="1"/>
    <col min="8218" max="8218" width="15.7109375" customWidth="1"/>
    <col min="8219" max="8219" width="1.5703125" customWidth="1"/>
    <col min="8220" max="8220" width="10.5703125" customWidth="1"/>
    <col min="8221" max="8221" width="20.7109375" customWidth="1"/>
    <col min="8222" max="8222" width="2" customWidth="1"/>
    <col min="8223" max="8223" width="10.140625" customWidth="1"/>
    <col min="8224" max="8224" width="13.7109375" customWidth="1"/>
    <col min="8225" max="8225" width="16.5703125" customWidth="1"/>
    <col min="8226" max="8226" width="16" customWidth="1"/>
    <col min="8227" max="8436" width="9.42578125" customWidth="1"/>
    <col min="8437" max="8437" width="7.140625" customWidth="1"/>
    <col min="8438" max="8438" width="35.28515625" customWidth="1"/>
    <col min="8439" max="8439" width="6.7109375" customWidth="1"/>
    <col min="8440" max="8440" width="5.7109375" customWidth="1"/>
    <col min="8441" max="8441" width="5.85546875" customWidth="1"/>
    <col min="8442" max="8442" width="7.85546875" customWidth="1"/>
    <col min="8449" max="8449" width="7.140625" customWidth="1"/>
    <col min="8450" max="8450" width="39.42578125" customWidth="1"/>
    <col min="8451" max="8451" width="6.7109375" customWidth="1"/>
    <col min="8452" max="8452" width="5.7109375" customWidth="1"/>
    <col min="8453" max="8453" width="5.85546875" customWidth="1"/>
    <col min="8454" max="8454" width="7.85546875" customWidth="1"/>
    <col min="8455" max="8455" width="14.28515625" customWidth="1"/>
    <col min="8456" max="8456" width="14" customWidth="1"/>
    <col min="8457" max="8471" width="0" hidden="1" customWidth="1"/>
    <col min="8472" max="8472" width="11.5703125" customWidth="1"/>
    <col min="8473" max="8473" width="11.85546875" customWidth="1"/>
    <col min="8474" max="8474" width="15.7109375" customWidth="1"/>
    <col min="8475" max="8475" width="1.5703125" customWidth="1"/>
    <col min="8476" max="8476" width="10.5703125" customWidth="1"/>
    <col min="8477" max="8477" width="20.7109375" customWidth="1"/>
    <col min="8478" max="8478" width="2" customWidth="1"/>
    <col min="8479" max="8479" width="10.140625" customWidth="1"/>
    <col min="8480" max="8480" width="13.7109375" customWidth="1"/>
    <col min="8481" max="8481" width="16.5703125" customWidth="1"/>
    <col min="8482" max="8482" width="16" customWidth="1"/>
    <col min="8483" max="8692" width="9.42578125" customWidth="1"/>
    <col min="8693" max="8693" width="7.140625" customWidth="1"/>
    <col min="8694" max="8694" width="35.28515625" customWidth="1"/>
    <col min="8695" max="8695" width="6.7109375" customWidth="1"/>
    <col min="8696" max="8696" width="5.7109375" customWidth="1"/>
    <col min="8697" max="8697" width="5.85546875" customWidth="1"/>
    <col min="8698" max="8698" width="7.85546875" customWidth="1"/>
    <col min="8705" max="8705" width="7.140625" customWidth="1"/>
    <col min="8706" max="8706" width="39.42578125" customWidth="1"/>
    <col min="8707" max="8707" width="6.7109375" customWidth="1"/>
    <col min="8708" max="8708" width="5.7109375" customWidth="1"/>
    <col min="8709" max="8709" width="5.85546875" customWidth="1"/>
    <col min="8710" max="8710" width="7.85546875" customWidth="1"/>
    <col min="8711" max="8711" width="14.28515625" customWidth="1"/>
    <col min="8712" max="8712" width="14" customWidth="1"/>
    <col min="8713" max="8727" width="0" hidden="1" customWidth="1"/>
    <col min="8728" max="8728" width="11.5703125" customWidth="1"/>
    <col min="8729" max="8729" width="11.85546875" customWidth="1"/>
    <col min="8730" max="8730" width="15.7109375" customWidth="1"/>
    <col min="8731" max="8731" width="1.5703125" customWidth="1"/>
    <col min="8732" max="8732" width="10.5703125" customWidth="1"/>
    <col min="8733" max="8733" width="20.7109375" customWidth="1"/>
    <col min="8734" max="8734" width="2" customWidth="1"/>
    <col min="8735" max="8735" width="10.140625" customWidth="1"/>
    <col min="8736" max="8736" width="13.7109375" customWidth="1"/>
    <col min="8737" max="8737" width="16.5703125" customWidth="1"/>
    <col min="8738" max="8738" width="16" customWidth="1"/>
    <col min="8739" max="8948" width="9.42578125" customWidth="1"/>
    <col min="8949" max="8949" width="7.140625" customWidth="1"/>
    <col min="8950" max="8950" width="35.28515625" customWidth="1"/>
    <col min="8951" max="8951" width="6.7109375" customWidth="1"/>
    <col min="8952" max="8952" width="5.7109375" customWidth="1"/>
    <col min="8953" max="8953" width="5.85546875" customWidth="1"/>
    <col min="8954" max="8954" width="7.85546875" customWidth="1"/>
    <col min="8961" max="8961" width="7.140625" customWidth="1"/>
    <col min="8962" max="8962" width="39.42578125" customWidth="1"/>
    <col min="8963" max="8963" width="6.7109375" customWidth="1"/>
    <col min="8964" max="8964" width="5.7109375" customWidth="1"/>
    <col min="8965" max="8965" width="5.85546875" customWidth="1"/>
    <col min="8966" max="8966" width="7.85546875" customWidth="1"/>
    <col min="8967" max="8967" width="14.28515625" customWidth="1"/>
    <col min="8968" max="8968" width="14" customWidth="1"/>
    <col min="8969" max="8983" width="0" hidden="1" customWidth="1"/>
    <col min="8984" max="8984" width="11.5703125" customWidth="1"/>
    <col min="8985" max="8985" width="11.85546875" customWidth="1"/>
    <col min="8986" max="8986" width="15.7109375" customWidth="1"/>
    <col min="8987" max="8987" width="1.5703125" customWidth="1"/>
    <col min="8988" max="8988" width="10.5703125" customWidth="1"/>
    <col min="8989" max="8989" width="20.7109375" customWidth="1"/>
    <col min="8990" max="8990" width="2" customWidth="1"/>
    <col min="8991" max="8991" width="10.140625" customWidth="1"/>
    <col min="8992" max="8992" width="13.7109375" customWidth="1"/>
    <col min="8993" max="8993" width="16.5703125" customWidth="1"/>
    <col min="8994" max="8994" width="16" customWidth="1"/>
    <col min="8995" max="9204" width="9.42578125" customWidth="1"/>
    <col min="9205" max="9205" width="7.140625" customWidth="1"/>
    <col min="9206" max="9206" width="35.28515625" customWidth="1"/>
    <col min="9207" max="9207" width="6.7109375" customWidth="1"/>
    <col min="9208" max="9208" width="5.7109375" customWidth="1"/>
    <col min="9209" max="9209" width="5.85546875" customWidth="1"/>
    <col min="9210" max="9210" width="7.85546875" customWidth="1"/>
    <col min="9217" max="9217" width="7.140625" customWidth="1"/>
    <col min="9218" max="9218" width="39.42578125" customWidth="1"/>
    <col min="9219" max="9219" width="6.7109375" customWidth="1"/>
    <col min="9220" max="9220" width="5.7109375" customWidth="1"/>
    <col min="9221" max="9221" width="5.85546875" customWidth="1"/>
    <col min="9222" max="9222" width="7.85546875" customWidth="1"/>
    <col min="9223" max="9223" width="14.28515625" customWidth="1"/>
    <col min="9224" max="9224" width="14" customWidth="1"/>
    <col min="9225" max="9239" width="0" hidden="1" customWidth="1"/>
    <col min="9240" max="9240" width="11.5703125" customWidth="1"/>
    <col min="9241" max="9241" width="11.85546875" customWidth="1"/>
    <col min="9242" max="9242" width="15.7109375" customWidth="1"/>
    <col min="9243" max="9243" width="1.5703125" customWidth="1"/>
    <col min="9244" max="9244" width="10.5703125" customWidth="1"/>
    <col min="9245" max="9245" width="20.7109375" customWidth="1"/>
    <col min="9246" max="9246" width="2" customWidth="1"/>
    <col min="9247" max="9247" width="10.140625" customWidth="1"/>
    <col min="9248" max="9248" width="13.7109375" customWidth="1"/>
    <col min="9249" max="9249" width="16.5703125" customWidth="1"/>
    <col min="9250" max="9250" width="16" customWidth="1"/>
    <col min="9251" max="9460" width="9.42578125" customWidth="1"/>
    <col min="9461" max="9461" width="7.140625" customWidth="1"/>
    <col min="9462" max="9462" width="35.28515625" customWidth="1"/>
    <col min="9463" max="9463" width="6.7109375" customWidth="1"/>
    <col min="9464" max="9464" width="5.7109375" customWidth="1"/>
    <col min="9465" max="9465" width="5.85546875" customWidth="1"/>
    <col min="9466" max="9466" width="7.85546875" customWidth="1"/>
    <col min="9473" max="9473" width="7.140625" customWidth="1"/>
    <col min="9474" max="9474" width="39.42578125" customWidth="1"/>
    <col min="9475" max="9475" width="6.7109375" customWidth="1"/>
    <col min="9476" max="9476" width="5.7109375" customWidth="1"/>
    <col min="9477" max="9477" width="5.85546875" customWidth="1"/>
    <col min="9478" max="9478" width="7.85546875" customWidth="1"/>
    <col min="9479" max="9479" width="14.28515625" customWidth="1"/>
    <col min="9480" max="9480" width="14" customWidth="1"/>
    <col min="9481" max="9495" width="0" hidden="1" customWidth="1"/>
    <col min="9496" max="9496" width="11.5703125" customWidth="1"/>
    <col min="9497" max="9497" width="11.85546875" customWidth="1"/>
    <col min="9498" max="9498" width="15.7109375" customWidth="1"/>
    <col min="9499" max="9499" width="1.5703125" customWidth="1"/>
    <col min="9500" max="9500" width="10.5703125" customWidth="1"/>
    <col min="9501" max="9501" width="20.7109375" customWidth="1"/>
    <col min="9502" max="9502" width="2" customWidth="1"/>
    <col min="9503" max="9503" width="10.140625" customWidth="1"/>
    <col min="9504" max="9504" width="13.7109375" customWidth="1"/>
    <col min="9505" max="9505" width="16.5703125" customWidth="1"/>
    <col min="9506" max="9506" width="16" customWidth="1"/>
    <col min="9507" max="9716" width="9.42578125" customWidth="1"/>
    <col min="9717" max="9717" width="7.140625" customWidth="1"/>
    <col min="9718" max="9718" width="35.28515625" customWidth="1"/>
    <col min="9719" max="9719" width="6.7109375" customWidth="1"/>
    <col min="9720" max="9720" width="5.7109375" customWidth="1"/>
    <col min="9721" max="9721" width="5.85546875" customWidth="1"/>
    <col min="9722" max="9722" width="7.85546875" customWidth="1"/>
    <col min="9729" max="9729" width="7.140625" customWidth="1"/>
    <col min="9730" max="9730" width="39.42578125" customWidth="1"/>
    <col min="9731" max="9731" width="6.7109375" customWidth="1"/>
    <col min="9732" max="9732" width="5.7109375" customWidth="1"/>
    <col min="9733" max="9733" width="5.85546875" customWidth="1"/>
    <col min="9734" max="9734" width="7.85546875" customWidth="1"/>
    <col min="9735" max="9735" width="14.28515625" customWidth="1"/>
    <col min="9736" max="9736" width="14" customWidth="1"/>
    <col min="9737" max="9751" width="0" hidden="1" customWidth="1"/>
    <col min="9752" max="9752" width="11.5703125" customWidth="1"/>
    <col min="9753" max="9753" width="11.85546875" customWidth="1"/>
    <col min="9754" max="9754" width="15.7109375" customWidth="1"/>
    <col min="9755" max="9755" width="1.5703125" customWidth="1"/>
    <col min="9756" max="9756" width="10.5703125" customWidth="1"/>
    <col min="9757" max="9757" width="20.7109375" customWidth="1"/>
    <col min="9758" max="9758" width="2" customWidth="1"/>
    <col min="9759" max="9759" width="10.140625" customWidth="1"/>
    <col min="9760" max="9760" width="13.7109375" customWidth="1"/>
    <col min="9761" max="9761" width="16.5703125" customWidth="1"/>
    <col min="9762" max="9762" width="16" customWidth="1"/>
    <col min="9763" max="9972" width="9.42578125" customWidth="1"/>
    <col min="9973" max="9973" width="7.140625" customWidth="1"/>
    <col min="9974" max="9974" width="35.28515625" customWidth="1"/>
    <col min="9975" max="9975" width="6.7109375" customWidth="1"/>
    <col min="9976" max="9976" width="5.7109375" customWidth="1"/>
    <col min="9977" max="9977" width="5.85546875" customWidth="1"/>
    <col min="9978" max="9978" width="7.85546875" customWidth="1"/>
    <col min="9985" max="9985" width="7.140625" customWidth="1"/>
    <col min="9986" max="9986" width="39.42578125" customWidth="1"/>
    <col min="9987" max="9987" width="6.7109375" customWidth="1"/>
    <col min="9988" max="9988" width="5.7109375" customWidth="1"/>
    <col min="9989" max="9989" width="5.85546875" customWidth="1"/>
    <col min="9990" max="9990" width="7.85546875" customWidth="1"/>
    <col min="9991" max="9991" width="14.28515625" customWidth="1"/>
    <col min="9992" max="9992" width="14" customWidth="1"/>
    <col min="9993" max="10007" width="0" hidden="1" customWidth="1"/>
    <col min="10008" max="10008" width="11.5703125" customWidth="1"/>
    <col min="10009" max="10009" width="11.85546875" customWidth="1"/>
    <col min="10010" max="10010" width="15.7109375" customWidth="1"/>
    <col min="10011" max="10011" width="1.5703125" customWidth="1"/>
    <col min="10012" max="10012" width="10.5703125" customWidth="1"/>
    <col min="10013" max="10013" width="20.7109375" customWidth="1"/>
    <col min="10014" max="10014" width="2" customWidth="1"/>
    <col min="10015" max="10015" width="10.140625" customWidth="1"/>
    <col min="10016" max="10016" width="13.7109375" customWidth="1"/>
    <col min="10017" max="10017" width="16.5703125" customWidth="1"/>
    <col min="10018" max="10018" width="16" customWidth="1"/>
    <col min="10019" max="10228" width="9.42578125" customWidth="1"/>
    <col min="10229" max="10229" width="7.140625" customWidth="1"/>
    <col min="10230" max="10230" width="35.28515625" customWidth="1"/>
    <col min="10231" max="10231" width="6.7109375" customWidth="1"/>
    <col min="10232" max="10232" width="5.7109375" customWidth="1"/>
    <col min="10233" max="10233" width="5.85546875" customWidth="1"/>
    <col min="10234" max="10234" width="7.85546875" customWidth="1"/>
    <col min="10241" max="10241" width="7.140625" customWidth="1"/>
    <col min="10242" max="10242" width="39.42578125" customWidth="1"/>
    <col min="10243" max="10243" width="6.7109375" customWidth="1"/>
    <col min="10244" max="10244" width="5.7109375" customWidth="1"/>
    <col min="10245" max="10245" width="5.85546875" customWidth="1"/>
    <col min="10246" max="10246" width="7.85546875" customWidth="1"/>
    <col min="10247" max="10247" width="14.28515625" customWidth="1"/>
    <col min="10248" max="10248" width="14" customWidth="1"/>
    <col min="10249" max="10263" width="0" hidden="1" customWidth="1"/>
    <col min="10264" max="10264" width="11.5703125" customWidth="1"/>
    <col min="10265" max="10265" width="11.85546875" customWidth="1"/>
    <col min="10266" max="10266" width="15.7109375" customWidth="1"/>
    <col min="10267" max="10267" width="1.5703125" customWidth="1"/>
    <col min="10268" max="10268" width="10.5703125" customWidth="1"/>
    <col min="10269" max="10269" width="20.7109375" customWidth="1"/>
    <col min="10270" max="10270" width="2" customWidth="1"/>
    <col min="10271" max="10271" width="10.140625" customWidth="1"/>
    <col min="10272" max="10272" width="13.7109375" customWidth="1"/>
    <col min="10273" max="10273" width="16.5703125" customWidth="1"/>
    <col min="10274" max="10274" width="16" customWidth="1"/>
    <col min="10275" max="10484" width="9.42578125" customWidth="1"/>
    <col min="10485" max="10485" width="7.140625" customWidth="1"/>
    <col min="10486" max="10486" width="35.28515625" customWidth="1"/>
    <col min="10487" max="10487" width="6.7109375" customWidth="1"/>
    <col min="10488" max="10488" width="5.7109375" customWidth="1"/>
    <col min="10489" max="10489" width="5.85546875" customWidth="1"/>
    <col min="10490" max="10490" width="7.85546875" customWidth="1"/>
    <col min="10497" max="10497" width="7.140625" customWidth="1"/>
    <col min="10498" max="10498" width="39.42578125" customWidth="1"/>
    <col min="10499" max="10499" width="6.7109375" customWidth="1"/>
    <col min="10500" max="10500" width="5.7109375" customWidth="1"/>
    <col min="10501" max="10501" width="5.85546875" customWidth="1"/>
    <col min="10502" max="10502" width="7.85546875" customWidth="1"/>
    <col min="10503" max="10503" width="14.28515625" customWidth="1"/>
    <col min="10504" max="10504" width="14" customWidth="1"/>
    <col min="10505" max="10519" width="0" hidden="1" customWidth="1"/>
    <col min="10520" max="10520" width="11.5703125" customWidth="1"/>
    <col min="10521" max="10521" width="11.85546875" customWidth="1"/>
    <col min="10522" max="10522" width="15.7109375" customWidth="1"/>
    <col min="10523" max="10523" width="1.5703125" customWidth="1"/>
    <col min="10524" max="10524" width="10.5703125" customWidth="1"/>
    <col min="10525" max="10525" width="20.7109375" customWidth="1"/>
    <col min="10526" max="10526" width="2" customWidth="1"/>
    <col min="10527" max="10527" width="10.140625" customWidth="1"/>
    <col min="10528" max="10528" width="13.7109375" customWidth="1"/>
    <col min="10529" max="10529" width="16.5703125" customWidth="1"/>
    <col min="10530" max="10530" width="16" customWidth="1"/>
    <col min="10531" max="10740" width="9.42578125" customWidth="1"/>
    <col min="10741" max="10741" width="7.140625" customWidth="1"/>
    <col min="10742" max="10742" width="35.28515625" customWidth="1"/>
    <col min="10743" max="10743" width="6.7109375" customWidth="1"/>
    <col min="10744" max="10744" width="5.7109375" customWidth="1"/>
    <col min="10745" max="10745" width="5.85546875" customWidth="1"/>
    <col min="10746" max="10746" width="7.85546875" customWidth="1"/>
    <col min="10753" max="10753" width="7.140625" customWidth="1"/>
    <col min="10754" max="10754" width="39.42578125" customWidth="1"/>
    <col min="10755" max="10755" width="6.7109375" customWidth="1"/>
    <col min="10756" max="10756" width="5.7109375" customWidth="1"/>
    <col min="10757" max="10757" width="5.85546875" customWidth="1"/>
    <col min="10758" max="10758" width="7.85546875" customWidth="1"/>
    <col min="10759" max="10759" width="14.28515625" customWidth="1"/>
    <col min="10760" max="10760" width="14" customWidth="1"/>
    <col min="10761" max="10775" width="0" hidden="1" customWidth="1"/>
    <col min="10776" max="10776" width="11.5703125" customWidth="1"/>
    <col min="10777" max="10777" width="11.85546875" customWidth="1"/>
    <col min="10778" max="10778" width="15.7109375" customWidth="1"/>
    <col min="10779" max="10779" width="1.5703125" customWidth="1"/>
    <col min="10780" max="10780" width="10.5703125" customWidth="1"/>
    <col min="10781" max="10781" width="20.7109375" customWidth="1"/>
    <col min="10782" max="10782" width="2" customWidth="1"/>
    <col min="10783" max="10783" width="10.140625" customWidth="1"/>
    <col min="10784" max="10784" width="13.7109375" customWidth="1"/>
    <col min="10785" max="10785" width="16.5703125" customWidth="1"/>
    <col min="10786" max="10786" width="16" customWidth="1"/>
    <col min="10787" max="10996" width="9.42578125" customWidth="1"/>
    <col min="10997" max="10997" width="7.140625" customWidth="1"/>
    <col min="10998" max="10998" width="35.28515625" customWidth="1"/>
    <col min="10999" max="10999" width="6.7109375" customWidth="1"/>
    <col min="11000" max="11000" width="5.7109375" customWidth="1"/>
    <col min="11001" max="11001" width="5.85546875" customWidth="1"/>
    <col min="11002" max="11002" width="7.85546875" customWidth="1"/>
    <col min="11009" max="11009" width="7.140625" customWidth="1"/>
    <col min="11010" max="11010" width="39.42578125" customWidth="1"/>
    <col min="11011" max="11011" width="6.7109375" customWidth="1"/>
    <col min="11012" max="11012" width="5.7109375" customWidth="1"/>
    <col min="11013" max="11013" width="5.85546875" customWidth="1"/>
    <col min="11014" max="11014" width="7.85546875" customWidth="1"/>
    <col min="11015" max="11015" width="14.28515625" customWidth="1"/>
    <col min="11016" max="11016" width="14" customWidth="1"/>
    <col min="11017" max="11031" width="0" hidden="1" customWidth="1"/>
    <col min="11032" max="11032" width="11.5703125" customWidth="1"/>
    <col min="11033" max="11033" width="11.85546875" customWidth="1"/>
    <col min="11034" max="11034" width="15.7109375" customWidth="1"/>
    <col min="11035" max="11035" width="1.5703125" customWidth="1"/>
    <col min="11036" max="11036" width="10.5703125" customWidth="1"/>
    <col min="11037" max="11037" width="20.7109375" customWidth="1"/>
    <col min="11038" max="11038" width="2" customWidth="1"/>
    <col min="11039" max="11039" width="10.140625" customWidth="1"/>
    <col min="11040" max="11040" width="13.7109375" customWidth="1"/>
    <col min="11041" max="11041" width="16.5703125" customWidth="1"/>
    <col min="11042" max="11042" width="16" customWidth="1"/>
    <col min="11043" max="11252" width="9.42578125" customWidth="1"/>
    <col min="11253" max="11253" width="7.140625" customWidth="1"/>
    <col min="11254" max="11254" width="35.28515625" customWidth="1"/>
    <col min="11255" max="11255" width="6.7109375" customWidth="1"/>
    <col min="11256" max="11256" width="5.7109375" customWidth="1"/>
    <col min="11257" max="11257" width="5.85546875" customWidth="1"/>
    <col min="11258" max="11258" width="7.85546875" customWidth="1"/>
    <col min="11265" max="11265" width="7.140625" customWidth="1"/>
    <col min="11266" max="11266" width="39.42578125" customWidth="1"/>
    <col min="11267" max="11267" width="6.7109375" customWidth="1"/>
    <col min="11268" max="11268" width="5.7109375" customWidth="1"/>
    <col min="11269" max="11269" width="5.85546875" customWidth="1"/>
    <col min="11270" max="11270" width="7.85546875" customWidth="1"/>
    <col min="11271" max="11271" width="14.28515625" customWidth="1"/>
    <col min="11272" max="11272" width="14" customWidth="1"/>
    <col min="11273" max="11287" width="0" hidden="1" customWidth="1"/>
    <col min="11288" max="11288" width="11.5703125" customWidth="1"/>
    <col min="11289" max="11289" width="11.85546875" customWidth="1"/>
    <col min="11290" max="11290" width="15.7109375" customWidth="1"/>
    <col min="11291" max="11291" width="1.5703125" customWidth="1"/>
    <col min="11292" max="11292" width="10.5703125" customWidth="1"/>
    <col min="11293" max="11293" width="20.7109375" customWidth="1"/>
    <col min="11294" max="11294" width="2" customWidth="1"/>
    <col min="11295" max="11295" width="10.140625" customWidth="1"/>
    <col min="11296" max="11296" width="13.7109375" customWidth="1"/>
    <col min="11297" max="11297" width="16.5703125" customWidth="1"/>
    <col min="11298" max="11298" width="16" customWidth="1"/>
    <col min="11299" max="11508" width="9.42578125" customWidth="1"/>
    <col min="11509" max="11509" width="7.140625" customWidth="1"/>
    <col min="11510" max="11510" width="35.28515625" customWidth="1"/>
    <col min="11511" max="11511" width="6.7109375" customWidth="1"/>
    <col min="11512" max="11512" width="5.7109375" customWidth="1"/>
    <col min="11513" max="11513" width="5.85546875" customWidth="1"/>
    <col min="11514" max="11514" width="7.85546875" customWidth="1"/>
    <col min="11521" max="11521" width="7.140625" customWidth="1"/>
    <col min="11522" max="11522" width="39.42578125" customWidth="1"/>
    <col min="11523" max="11523" width="6.7109375" customWidth="1"/>
    <col min="11524" max="11524" width="5.7109375" customWidth="1"/>
    <col min="11525" max="11525" width="5.85546875" customWidth="1"/>
    <col min="11526" max="11526" width="7.85546875" customWidth="1"/>
    <col min="11527" max="11527" width="14.28515625" customWidth="1"/>
    <col min="11528" max="11528" width="14" customWidth="1"/>
    <col min="11529" max="11543" width="0" hidden="1" customWidth="1"/>
    <col min="11544" max="11544" width="11.5703125" customWidth="1"/>
    <col min="11545" max="11545" width="11.85546875" customWidth="1"/>
    <col min="11546" max="11546" width="15.7109375" customWidth="1"/>
    <col min="11547" max="11547" width="1.5703125" customWidth="1"/>
    <col min="11548" max="11548" width="10.5703125" customWidth="1"/>
    <col min="11549" max="11549" width="20.7109375" customWidth="1"/>
    <col min="11550" max="11550" width="2" customWidth="1"/>
    <col min="11551" max="11551" width="10.140625" customWidth="1"/>
    <col min="11552" max="11552" width="13.7109375" customWidth="1"/>
    <col min="11553" max="11553" width="16.5703125" customWidth="1"/>
    <col min="11554" max="11554" width="16" customWidth="1"/>
    <col min="11555" max="11764" width="9.42578125" customWidth="1"/>
    <col min="11765" max="11765" width="7.140625" customWidth="1"/>
    <col min="11766" max="11766" width="35.28515625" customWidth="1"/>
    <col min="11767" max="11767" width="6.7109375" customWidth="1"/>
    <col min="11768" max="11768" width="5.7109375" customWidth="1"/>
    <col min="11769" max="11769" width="5.85546875" customWidth="1"/>
    <col min="11770" max="11770" width="7.85546875" customWidth="1"/>
    <col min="11777" max="11777" width="7.140625" customWidth="1"/>
    <col min="11778" max="11778" width="39.42578125" customWidth="1"/>
    <col min="11779" max="11779" width="6.7109375" customWidth="1"/>
    <col min="11780" max="11780" width="5.7109375" customWidth="1"/>
    <col min="11781" max="11781" width="5.85546875" customWidth="1"/>
    <col min="11782" max="11782" width="7.85546875" customWidth="1"/>
    <col min="11783" max="11783" width="14.28515625" customWidth="1"/>
    <col min="11784" max="11784" width="14" customWidth="1"/>
    <col min="11785" max="11799" width="0" hidden="1" customWidth="1"/>
    <col min="11800" max="11800" width="11.5703125" customWidth="1"/>
    <col min="11801" max="11801" width="11.85546875" customWidth="1"/>
    <col min="11802" max="11802" width="15.7109375" customWidth="1"/>
    <col min="11803" max="11803" width="1.5703125" customWidth="1"/>
    <col min="11804" max="11804" width="10.5703125" customWidth="1"/>
    <col min="11805" max="11805" width="20.7109375" customWidth="1"/>
    <col min="11806" max="11806" width="2" customWidth="1"/>
    <col min="11807" max="11807" width="10.140625" customWidth="1"/>
    <col min="11808" max="11808" width="13.7109375" customWidth="1"/>
    <col min="11809" max="11809" width="16.5703125" customWidth="1"/>
    <col min="11810" max="11810" width="16" customWidth="1"/>
    <col min="11811" max="12020" width="9.42578125" customWidth="1"/>
    <col min="12021" max="12021" width="7.140625" customWidth="1"/>
    <col min="12022" max="12022" width="35.28515625" customWidth="1"/>
    <col min="12023" max="12023" width="6.7109375" customWidth="1"/>
    <col min="12024" max="12024" width="5.7109375" customWidth="1"/>
    <col min="12025" max="12025" width="5.85546875" customWidth="1"/>
    <col min="12026" max="12026" width="7.85546875" customWidth="1"/>
    <col min="12033" max="12033" width="7.140625" customWidth="1"/>
    <col min="12034" max="12034" width="39.42578125" customWidth="1"/>
    <col min="12035" max="12035" width="6.7109375" customWidth="1"/>
    <col min="12036" max="12036" width="5.7109375" customWidth="1"/>
    <col min="12037" max="12037" width="5.85546875" customWidth="1"/>
    <col min="12038" max="12038" width="7.85546875" customWidth="1"/>
    <col min="12039" max="12039" width="14.28515625" customWidth="1"/>
    <col min="12040" max="12040" width="14" customWidth="1"/>
    <col min="12041" max="12055" width="0" hidden="1" customWidth="1"/>
    <col min="12056" max="12056" width="11.5703125" customWidth="1"/>
    <col min="12057" max="12057" width="11.85546875" customWidth="1"/>
    <col min="12058" max="12058" width="15.7109375" customWidth="1"/>
    <col min="12059" max="12059" width="1.5703125" customWidth="1"/>
    <col min="12060" max="12060" width="10.5703125" customWidth="1"/>
    <col min="12061" max="12061" width="20.7109375" customWidth="1"/>
    <col min="12062" max="12062" width="2" customWidth="1"/>
    <col min="12063" max="12063" width="10.140625" customWidth="1"/>
    <col min="12064" max="12064" width="13.7109375" customWidth="1"/>
    <col min="12065" max="12065" width="16.5703125" customWidth="1"/>
    <col min="12066" max="12066" width="16" customWidth="1"/>
    <col min="12067" max="12276" width="9.42578125" customWidth="1"/>
    <col min="12277" max="12277" width="7.140625" customWidth="1"/>
    <col min="12278" max="12278" width="35.28515625" customWidth="1"/>
    <col min="12279" max="12279" width="6.7109375" customWidth="1"/>
    <col min="12280" max="12280" width="5.7109375" customWidth="1"/>
    <col min="12281" max="12281" width="5.85546875" customWidth="1"/>
    <col min="12282" max="12282" width="7.85546875" customWidth="1"/>
    <col min="12289" max="12289" width="7.140625" customWidth="1"/>
    <col min="12290" max="12290" width="39.42578125" customWidth="1"/>
    <col min="12291" max="12291" width="6.7109375" customWidth="1"/>
    <col min="12292" max="12292" width="5.7109375" customWidth="1"/>
    <col min="12293" max="12293" width="5.85546875" customWidth="1"/>
    <col min="12294" max="12294" width="7.85546875" customWidth="1"/>
    <col min="12295" max="12295" width="14.28515625" customWidth="1"/>
    <col min="12296" max="12296" width="14" customWidth="1"/>
    <col min="12297" max="12311" width="0" hidden="1" customWidth="1"/>
    <col min="12312" max="12312" width="11.5703125" customWidth="1"/>
    <col min="12313" max="12313" width="11.85546875" customWidth="1"/>
    <col min="12314" max="12314" width="15.7109375" customWidth="1"/>
    <col min="12315" max="12315" width="1.5703125" customWidth="1"/>
    <col min="12316" max="12316" width="10.5703125" customWidth="1"/>
    <col min="12317" max="12317" width="20.7109375" customWidth="1"/>
    <col min="12318" max="12318" width="2" customWidth="1"/>
    <col min="12319" max="12319" width="10.140625" customWidth="1"/>
    <col min="12320" max="12320" width="13.7109375" customWidth="1"/>
    <col min="12321" max="12321" width="16.5703125" customWidth="1"/>
    <col min="12322" max="12322" width="16" customWidth="1"/>
    <col min="12323" max="12532" width="9.42578125" customWidth="1"/>
    <col min="12533" max="12533" width="7.140625" customWidth="1"/>
    <col min="12534" max="12534" width="35.28515625" customWidth="1"/>
    <col min="12535" max="12535" width="6.7109375" customWidth="1"/>
    <col min="12536" max="12536" width="5.7109375" customWidth="1"/>
    <col min="12537" max="12537" width="5.85546875" customWidth="1"/>
    <col min="12538" max="12538" width="7.85546875" customWidth="1"/>
    <col min="12545" max="12545" width="7.140625" customWidth="1"/>
    <col min="12546" max="12546" width="39.42578125" customWidth="1"/>
    <col min="12547" max="12547" width="6.7109375" customWidth="1"/>
    <col min="12548" max="12548" width="5.7109375" customWidth="1"/>
    <col min="12549" max="12549" width="5.85546875" customWidth="1"/>
    <col min="12550" max="12550" width="7.85546875" customWidth="1"/>
    <col min="12551" max="12551" width="14.28515625" customWidth="1"/>
    <col min="12552" max="12552" width="14" customWidth="1"/>
    <col min="12553" max="12567" width="0" hidden="1" customWidth="1"/>
    <col min="12568" max="12568" width="11.5703125" customWidth="1"/>
    <col min="12569" max="12569" width="11.85546875" customWidth="1"/>
    <col min="12570" max="12570" width="15.7109375" customWidth="1"/>
    <col min="12571" max="12571" width="1.5703125" customWidth="1"/>
    <col min="12572" max="12572" width="10.5703125" customWidth="1"/>
    <col min="12573" max="12573" width="20.7109375" customWidth="1"/>
    <col min="12574" max="12574" width="2" customWidth="1"/>
    <col min="12575" max="12575" width="10.140625" customWidth="1"/>
    <col min="12576" max="12576" width="13.7109375" customWidth="1"/>
    <col min="12577" max="12577" width="16.5703125" customWidth="1"/>
    <col min="12578" max="12578" width="16" customWidth="1"/>
    <col min="12579" max="12788" width="9.42578125" customWidth="1"/>
    <col min="12789" max="12789" width="7.140625" customWidth="1"/>
    <col min="12790" max="12790" width="35.28515625" customWidth="1"/>
    <col min="12791" max="12791" width="6.7109375" customWidth="1"/>
    <col min="12792" max="12792" width="5.7109375" customWidth="1"/>
    <col min="12793" max="12793" width="5.85546875" customWidth="1"/>
    <col min="12794" max="12794" width="7.85546875" customWidth="1"/>
    <col min="12801" max="12801" width="7.140625" customWidth="1"/>
    <col min="12802" max="12802" width="39.42578125" customWidth="1"/>
    <col min="12803" max="12803" width="6.7109375" customWidth="1"/>
    <col min="12804" max="12804" width="5.7109375" customWidth="1"/>
    <col min="12805" max="12805" width="5.85546875" customWidth="1"/>
    <col min="12806" max="12806" width="7.85546875" customWidth="1"/>
    <col min="12807" max="12807" width="14.28515625" customWidth="1"/>
    <col min="12808" max="12808" width="14" customWidth="1"/>
    <col min="12809" max="12823" width="0" hidden="1" customWidth="1"/>
    <col min="12824" max="12824" width="11.5703125" customWidth="1"/>
    <col min="12825" max="12825" width="11.85546875" customWidth="1"/>
    <col min="12826" max="12826" width="15.7109375" customWidth="1"/>
    <col min="12827" max="12827" width="1.5703125" customWidth="1"/>
    <col min="12828" max="12828" width="10.5703125" customWidth="1"/>
    <col min="12829" max="12829" width="20.7109375" customWidth="1"/>
    <col min="12830" max="12830" width="2" customWidth="1"/>
    <col min="12831" max="12831" width="10.140625" customWidth="1"/>
    <col min="12832" max="12832" width="13.7109375" customWidth="1"/>
    <col min="12833" max="12833" width="16.5703125" customWidth="1"/>
    <col min="12834" max="12834" width="16" customWidth="1"/>
    <col min="12835" max="13044" width="9.42578125" customWidth="1"/>
    <col min="13045" max="13045" width="7.140625" customWidth="1"/>
    <col min="13046" max="13046" width="35.28515625" customWidth="1"/>
    <col min="13047" max="13047" width="6.7109375" customWidth="1"/>
    <col min="13048" max="13048" width="5.7109375" customWidth="1"/>
    <col min="13049" max="13049" width="5.85546875" customWidth="1"/>
    <col min="13050" max="13050" width="7.85546875" customWidth="1"/>
    <col min="13057" max="13057" width="7.140625" customWidth="1"/>
    <col min="13058" max="13058" width="39.42578125" customWidth="1"/>
    <col min="13059" max="13059" width="6.7109375" customWidth="1"/>
    <col min="13060" max="13060" width="5.7109375" customWidth="1"/>
    <col min="13061" max="13061" width="5.85546875" customWidth="1"/>
    <col min="13062" max="13062" width="7.85546875" customWidth="1"/>
    <col min="13063" max="13063" width="14.28515625" customWidth="1"/>
    <col min="13064" max="13064" width="14" customWidth="1"/>
    <col min="13065" max="13079" width="0" hidden="1" customWidth="1"/>
    <col min="13080" max="13080" width="11.5703125" customWidth="1"/>
    <col min="13081" max="13081" width="11.85546875" customWidth="1"/>
    <col min="13082" max="13082" width="15.7109375" customWidth="1"/>
    <col min="13083" max="13083" width="1.5703125" customWidth="1"/>
    <col min="13084" max="13084" width="10.5703125" customWidth="1"/>
    <col min="13085" max="13085" width="20.7109375" customWidth="1"/>
    <col min="13086" max="13086" width="2" customWidth="1"/>
    <col min="13087" max="13087" width="10.140625" customWidth="1"/>
    <col min="13088" max="13088" width="13.7109375" customWidth="1"/>
    <col min="13089" max="13089" width="16.5703125" customWidth="1"/>
    <col min="13090" max="13090" width="16" customWidth="1"/>
    <col min="13091" max="13300" width="9.42578125" customWidth="1"/>
    <col min="13301" max="13301" width="7.140625" customWidth="1"/>
    <col min="13302" max="13302" width="35.28515625" customWidth="1"/>
    <col min="13303" max="13303" width="6.7109375" customWidth="1"/>
    <col min="13304" max="13304" width="5.7109375" customWidth="1"/>
    <col min="13305" max="13305" width="5.85546875" customWidth="1"/>
    <col min="13306" max="13306" width="7.85546875" customWidth="1"/>
    <col min="13313" max="13313" width="7.140625" customWidth="1"/>
    <col min="13314" max="13314" width="39.42578125" customWidth="1"/>
    <col min="13315" max="13315" width="6.7109375" customWidth="1"/>
    <col min="13316" max="13316" width="5.7109375" customWidth="1"/>
    <col min="13317" max="13317" width="5.85546875" customWidth="1"/>
    <col min="13318" max="13318" width="7.85546875" customWidth="1"/>
    <col min="13319" max="13319" width="14.28515625" customWidth="1"/>
    <col min="13320" max="13320" width="14" customWidth="1"/>
    <col min="13321" max="13335" width="0" hidden="1" customWidth="1"/>
    <col min="13336" max="13336" width="11.5703125" customWidth="1"/>
    <col min="13337" max="13337" width="11.85546875" customWidth="1"/>
    <col min="13338" max="13338" width="15.7109375" customWidth="1"/>
    <col min="13339" max="13339" width="1.5703125" customWidth="1"/>
    <col min="13340" max="13340" width="10.5703125" customWidth="1"/>
    <col min="13341" max="13341" width="20.7109375" customWidth="1"/>
    <col min="13342" max="13342" width="2" customWidth="1"/>
    <col min="13343" max="13343" width="10.140625" customWidth="1"/>
    <col min="13344" max="13344" width="13.7109375" customWidth="1"/>
    <col min="13345" max="13345" width="16.5703125" customWidth="1"/>
    <col min="13346" max="13346" width="16" customWidth="1"/>
    <col min="13347" max="13556" width="9.42578125" customWidth="1"/>
    <col min="13557" max="13557" width="7.140625" customWidth="1"/>
    <col min="13558" max="13558" width="35.28515625" customWidth="1"/>
    <col min="13559" max="13559" width="6.7109375" customWidth="1"/>
    <col min="13560" max="13560" width="5.7109375" customWidth="1"/>
    <col min="13561" max="13561" width="5.85546875" customWidth="1"/>
    <col min="13562" max="13562" width="7.85546875" customWidth="1"/>
    <col min="13569" max="13569" width="7.140625" customWidth="1"/>
    <col min="13570" max="13570" width="39.42578125" customWidth="1"/>
    <col min="13571" max="13571" width="6.7109375" customWidth="1"/>
    <col min="13572" max="13572" width="5.7109375" customWidth="1"/>
    <col min="13573" max="13573" width="5.85546875" customWidth="1"/>
    <col min="13574" max="13574" width="7.85546875" customWidth="1"/>
    <col min="13575" max="13575" width="14.28515625" customWidth="1"/>
    <col min="13576" max="13576" width="14" customWidth="1"/>
    <col min="13577" max="13591" width="0" hidden="1" customWidth="1"/>
    <col min="13592" max="13592" width="11.5703125" customWidth="1"/>
    <col min="13593" max="13593" width="11.85546875" customWidth="1"/>
    <col min="13594" max="13594" width="15.7109375" customWidth="1"/>
    <col min="13595" max="13595" width="1.5703125" customWidth="1"/>
    <col min="13596" max="13596" width="10.5703125" customWidth="1"/>
    <col min="13597" max="13597" width="20.7109375" customWidth="1"/>
    <col min="13598" max="13598" width="2" customWidth="1"/>
    <col min="13599" max="13599" width="10.140625" customWidth="1"/>
    <col min="13600" max="13600" width="13.7109375" customWidth="1"/>
    <col min="13601" max="13601" width="16.5703125" customWidth="1"/>
    <col min="13602" max="13602" width="16" customWidth="1"/>
    <col min="13603" max="13812" width="9.42578125" customWidth="1"/>
    <col min="13813" max="13813" width="7.140625" customWidth="1"/>
    <col min="13814" max="13814" width="35.28515625" customWidth="1"/>
    <col min="13815" max="13815" width="6.7109375" customWidth="1"/>
    <col min="13816" max="13816" width="5.7109375" customWidth="1"/>
    <col min="13817" max="13817" width="5.85546875" customWidth="1"/>
    <col min="13818" max="13818" width="7.85546875" customWidth="1"/>
    <col min="13825" max="13825" width="7.140625" customWidth="1"/>
    <col min="13826" max="13826" width="39.42578125" customWidth="1"/>
    <col min="13827" max="13827" width="6.7109375" customWidth="1"/>
    <col min="13828" max="13828" width="5.7109375" customWidth="1"/>
    <col min="13829" max="13829" width="5.85546875" customWidth="1"/>
    <col min="13830" max="13830" width="7.85546875" customWidth="1"/>
    <col min="13831" max="13831" width="14.28515625" customWidth="1"/>
    <col min="13832" max="13832" width="14" customWidth="1"/>
    <col min="13833" max="13847" width="0" hidden="1" customWidth="1"/>
    <col min="13848" max="13848" width="11.5703125" customWidth="1"/>
    <col min="13849" max="13849" width="11.85546875" customWidth="1"/>
    <col min="13850" max="13850" width="15.7109375" customWidth="1"/>
    <col min="13851" max="13851" width="1.5703125" customWidth="1"/>
    <col min="13852" max="13852" width="10.5703125" customWidth="1"/>
    <col min="13853" max="13853" width="20.7109375" customWidth="1"/>
    <col min="13854" max="13854" width="2" customWidth="1"/>
    <col min="13855" max="13855" width="10.140625" customWidth="1"/>
    <col min="13856" max="13856" width="13.7109375" customWidth="1"/>
    <col min="13857" max="13857" width="16.5703125" customWidth="1"/>
    <col min="13858" max="13858" width="16" customWidth="1"/>
    <col min="13859" max="14068" width="9.42578125" customWidth="1"/>
    <col min="14069" max="14069" width="7.140625" customWidth="1"/>
    <col min="14070" max="14070" width="35.28515625" customWidth="1"/>
    <col min="14071" max="14071" width="6.7109375" customWidth="1"/>
    <col min="14072" max="14072" width="5.7109375" customWidth="1"/>
    <col min="14073" max="14073" width="5.85546875" customWidth="1"/>
    <col min="14074" max="14074" width="7.85546875" customWidth="1"/>
    <col min="14081" max="14081" width="7.140625" customWidth="1"/>
    <col min="14082" max="14082" width="39.42578125" customWidth="1"/>
    <col min="14083" max="14083" width="6.7109375" customWidth="1"/>
    <col min="14084" max="14084" width="5.7109375" customWidth="1"/>
    <col min="14085" max="14085" width="5.85546875" customWidth="1"/>
    <col min="14086" max="14086" width="7.85546875" customWidth="1"/>
    <col min="14087" max="14087" width="14.28515625" customWidth="1"/>
    <col min="14088" max="14088" width="14" customWidth="1"/>
    <col min="14089" max="14103" width="0" hidden="1" customWidth="1"/>
    <col min="14104" max="14104" width="11.5703125" customWidth="1"/>
    <col min="14105" max="14105" width="11.85546875" customWidth="1"/>
    <col min="14106" max="14106" width="15.7109375" customWidth="1"/>
    <col min="14107" max="14107" width="1.5703125" customWidth="1"/>
    <col min="14108" max="14108" width="10.5703125" customWidth="1"/>
    <col min="14109" max="14109" width="20.7109375" customWidth="1"/>
    <col min="14110" max="14110" width="2" customWidth="1"/>
    <col min="14111" max="14111" width="10.140625" customWidth="1"/>
    <col min="14112" max="14112" width="13.7109375" customWidth="1"/>
    <col min="14113" max="14113" width="16.5703125" customWidth="1"/>
    <col min="14114" max="14114" width="16" customWidth="1"/>
    <col min="14115" max="14324" width="9.42578125" customWidth="1"/>
    <col min="14325" max="14325" width="7.140625" customWidth="1"/>
    <col min="14326" max="14326" width="35.28515625" customWidth="1"/>
    <col min="14327" max="14327" width="6.7109375" customWidth="1"/>
    <col min="14328" max="14328" width="5.7109375" customWidth="1"/>
    <col min="14329" max="14329" width="5.85546875" customWidth="1"/>
    <col min="14330" max="14330" width="7.85546875" customWidth="1"/>
    <col min="14337" max="14337" width="7.140625" customWidth="1"/>
    <col min="14338" max="14338" width="39.42578125" customWidth="1"/>
    <col min="14339" max="14339" width="6.7109375" customWidth="1"/>
    <col min="14340" max="14340" width="5.7109375" customWidth="1"/>
    <col min="14341" max="14341" width="5.85546875" customWidth="1"/>
    <col min="14342" max="14342" width="7.85546875" customWidth="1"/>
    <col min="14343" max="14343" width="14.28515625" customWidth="1"/>
    <col min="14344" max="14344" width="14" customWidth="1"/>
    <col min="14345" max="14359" width="0" hidden="1" customWidth="1"/>
    <col min="14360" max="14360" width="11.5703125" customWidth="1"/>
    <col min="14361" max="14361" width="11.85546875" customWidth="1"/>
    <col min="14362" max="14362" width="15.7109375" customWidth="1"/>
    <col min="14363" max="14363" width="1.5703125" customWidth="1"/>
    <col min="14364" max="14364" width="10.5703125" customWidth="1"/>
    <col min="14365" max="14365" width="20.7109375" customWidth="1"/>
    <col min="14366" max="14366" width="2" customWidth="1"/>
    <col min="14367" max="14367" width="10.140625" customWidth="1"/>
    <col min="14368" max="14368" width="13.7109375" customWidth="1"/>
    <col min="14369" max="14369" width="16.5703125" customWidth="1"/>
    <col min="14370" max="14370" width="16" customWidth="1"/>
    <col min="14371" max="14580" width="9.42578125" customWidth="1"/>
    <col min="14581" max="14581" width="7.140625" customWidth="1"/>
    <col min="14582" max="14582" width="35.28515625" customWidth="1"/>
    <col min="14583" max="14583" width="6.7109375" customWidth="1"/>
    <col min="14584" max="14584" width="5.7109375" customWidth="1"/>
    <col min="14585" max="14585" width="5.85546875" customWidth="1"/>
    <col min="14586" max="14586" width="7.85546875" customWidth="1"/>
    <col min="14593" max="14593" width="7.140625" customWidth="1"/>
    <col min="14594" max="14594" width="39.42578125" customWidth="1"/>
    <col min="14595" max="14595" width="6.7109375" customWidth="1"/>
    <col min="14596" max="14596" width="5.7109375" customWidth="1"/>
    <col min="14597" max="14597" width="5.85546875" customWidth="1"/>
    <col min="14598" max="14598" width="7.85546875" customWidth="1"/>
    <col min="14599" max="14599" width="14.28515625" customWidth="1"/>
    <col min="14600" max="14600" width="14" customWidth="1"/>
    <col min="14601" max="14615" width="0" hidden="1" customWidth="1"/>
    <col min="14616" max="14616" width="11.5703125" customWidth="1"/>
    <col min="14617" max="14617" width="11.85546875" customWidth="1"/>
    <col min="14618" max="14618" width="15.7109375" customWidth="1"/>
    <col min="14619" max="14619" width="1.5703125" customWidth="1"/>
    <col min="14620" max="14620" width="10.5703125" customWidth="1"/>
    <col min="14621" max="14621" width="20.7109375" customWidth="1"/>
    <col min="14622" max="14622" width="2" customWidth="1"/>
    <col min="14623" max="14623" width="10.140625" customWidth="1"/>
    <col min="14624" max="14624" width="13.7109375" customWidth="1"/>
    <col min="14625" max="14625" width="16.5703125" customWidth="1"/>
    <col min="14626" max="14626" width="16" customWidth="1"/>
    <col min="14627" max="14836" width="9.42578125" customWidth="1"/>
    <col min="14837" max="14837" width="7.140625" customWidth="1"/>
    <col min="14838" max="14838" width="35.28515625" customWidth="1"/>
    <col min="14839" max="14839" width="6.7109375" customWidth="1"/>
    <col min="14840" max="14840" width="5.7109375" customWidth="1"/>
    <col min="14841" max="14841" width="5.85546875" customWidth="1"/>
    <col min="14842" max="14842" width="7.85546875" customWidth="1"/>
    <col min="14849" max="14849" width="7.140625" customWidth="1"/>
    <col min="14850" max="14850" width="39.42578125" customWidth="1"/>
    <col min="14851" max="14851" width="6.7109375" customWidth="1"/>
    <col min="14852" max="14852" width="5.7109375" customWidth="1"/>
    <col min="14853" max="14853" width="5.85546875" customWidth="1"/>
    <col min="14854" max="14854" width="7.85546875" customWidth="1"/>
    <col min="14855" max="14855" width="14.28515625" customWidth="1"/>
    <col min="14856" max="14856" width="14" customWidth="1"/>
    <col min="14857" max="14871" width="0" hidden="1" customWidth="1"/>
    <col min="14872" max="14872" width="11.5703125" customWidth="1"/>
    <col min="14873" max="14873" width="11.85546875" customWidth="1"/>
    <col min="14874" max="14874" width="15.7109375" customWidth="1"/>
    <col min="14875" max="14875" width="1.5703125" customWidth="1"/>
    <col min="14876" max="14876" width="10.5703125" customWidth="1"/>
    <col min="14877" max="14877" width="20.7109375" customWidth="1"/>
    <col min="14878" max="14878" width="2" customWidth="1"/>
    <col min="14879" max="14879" width="10.140625" customWidth="1"/>
    <col min="14880" max="14880" width="13.7109375" customWidth="1"/>
    <col min="14881" max="14881" width="16.5703125" customWidth="1"/>
    <col min="14882" max="14882" width="16" customWidth="1"/>
    <col min="14883" max="15092" width="9.42578125" customWidth="1"/>
    <col min="15093" max="15093" width="7.140625" customWidth="1"/>
    <col min="15094" max="15094" width="35.28515625" customWidth="1"/>
    <col min="15095" max="15095" width="6.7109375" customWidth="1"/>
    <col min="15096" max="15096" width="5.7109375" customWidth="1"/>
    <col min="15097" max="15097" width="5.85546875" customWidth="1"/>
    <col min="15098" max="15098" width="7.85546875" customWidth="1"/>
    <col min="15105" max="15105" width="7.140625" customWidth="1"/>
    <col min="15106" max="15106" width="39.42578125" customWidth="1"/>
    <col min="15107" max="15107" width="6.7109375" customWidth="1"/>
    <col min="15108" max="15108" width="5.7109375" customWidth="1"/>
    <col min="15109" max="15109" width="5.85546875" customWidth="1"/>
    <col min="15110" max="15110" width="7.85546875" customWidth="1"/>
    <col min="15111" max="15111" width="14.28515625" customWidth="1"/>
    <col min="15112" max="15112" width="14" customWidth="1"/>
    <col min="15113" max="15127" width="0" hidden="1" customWidth="1"/>
    <col min="15128" max="15128" width="11.5703125" customWidth="1"/>
    <col min="15129" max="15129" width="11.85546875" customWidth="1"/>
    <col min="15130" max="15130" width="15.7109375" customWidth="1"/>
    <col min="15131" max="15131" width="1.5703125" customWidth="1"/>
    <col min="15132" max="15132" width="10.5703125" customWidth="1"/>
    <col min="15133" max="15133" width="20.7109375" customWidth="1"/>
    <col min="15134" max="15134" width="2" customWidth="1"/>
    <col min="15135" max="15135" width="10.140625" customWidth="1"/>
    <col min="15136" max="15136" width="13.7109375" customWidth="1"/>
    <col min="15137" max="15137" width="16.5703125" customWidth="1"/>
    <col min="15138" max="15138" width="16" customWidth="1"/>
    <col min="15139" max="15348" width="9.42578125" customWidth="1"/>
    <col min="15349" max="15349" width="7.140625" customWidth="1"/>
    <col min="15350" max="15350" width="35.28515625" customWidth="1"/>
    <col min="15351" max="15351" width="6.7109375" customWidth="1"/>
    <col min="15352" max="15352" width="5.7109375" customWidth="1"/>
    <col min="15353" max="15353" width="5.85546875" customWidth="1"/>
    <col min="15354" max="15354" width="7.85546875" customWidth="1"/>
    <col min="15361" max="15361" width="7.140625" customWidth="1"/>
    <col min="15362" max="15362" width="39.42578125" customWidth="1"/>
    <col min="15363" max="15363" width="6.7109375" customWidth="1"/>
    <col min="15364" max="15364" width="5.7109375" customWidth="1"/>
    <col min="15365" max="15365" width="5.85546875" customWidth="1"/>
    <col min="15366" max="15366" width="7.85546875" customWidth="1"/>
    <col min="15367" max="15367" width="14.28515625" customWidth="1"/>
    <col min="15368" max="15368" width="14" customWidth="1"/>
    <col min="15369" max="15383" width="0" hidden="1" customWidth="1"/>
    <col min="15384" max="15384" width="11.5703125" customWidth="1"/>
    <col min="15385" max="15385" width="11.85546875" customWidth="1"/>
    <col min="15386" max="15386" width="15.7109375" customWidth="1"/>
    <col min="15387" max="15387" width="1.5703125" customWidth="1"/>
    <col min="15388" max="15388" width="10.5703125" customWidth="1"/>
    <col min="15389" max="15389" width="20.7109375" customWidth="1"/>
    <col min="15390" max="15390" width="2" customWidth="1"/>
    <col min="15391" max="15391" width="10.140625" customWidth="1"/>
    <col min="15392" max="15392" width="13.7109375" customWidth="1"/>
    <col min="15393" max="15393" width="16.5703125" customWidth="1"/>
    <col min="15394" max="15394" width="16" customWidth="1"/>
    <col min="15395" max="15604" width="9.42578125" customWidth="1"/>
    <col min="15605" max="15605" width="7.140625" customWidth="1"/>
    <col min="15606" max="15606" width="35.28515625" customWidth="1"/>
    <col min="15607" max="15607" width="6.7109375" customWidth="1"/>
    <col min="15608" max="15608" width="5.7109375" customWidth="1"/>
    <col min="15609" max="15609" width="5.85546875" customWidth="1"/>
    <col min="15610" max="15610" width="7.85546875" customWidth="1"/>
    <col min="15617" max="15617" width="7.140625" customWidth="1"/>
    <col min="15618" max="15618" width="39.42578125" customWidth="1"/>
    <col min="15619" max="15619" width="6.7109375" customWidth="1"/>
    <col min="15620" max="15620" width="5.7109375" customWidth="1"/>
    <col min="15621" max="15621" width="5.85546875" customWidth="1"/>
    <col min="15622" max="15622" width="7.85546875" customWidth="1"/>
    <col min="15623" max="15623" width="14.28515625" customWidth="1"/>
    <col min="15624" max="15624" width="14" customWidth="1"/>
    <col min="15625" max="15639" width="0" hidden="1" customWidth="1"/>
    <col min="15640" max="15640" width="11.5703125" customWidth="1"/>
    <col min="15641" max="15641" width="11.85546875" customWidth="1"/>
    <col min="15642" max="15642" width="15.7109375" customWidth="1"/>
    <col min="15643" max="15643" width="1.5703125" customWidth="1"/>
    <col min="15644" max="15644" width="10.5703125" customWidth="1"/>
    <col min="15645" max="15645" width="20.7109375" customWidth="1"/>
    <col min="15646" max="15646" width="2" customWidth="1"/>
    <col min="15647" max="15647" width="10.140625" customWidth="1"/>
    <col min="15648" max="15648" width="13.7109375" customWidth="1"/>
    <col min="15649" max="15649" width="16.5703125" customWidth="1"/>
    <col min="15650" max="15650" width="16" customWidth="1"/>
    <col min="15651" max="15860" width="9.42578125" customWidth="1"/>
    <col min="15861" max="15861" width="7.140625" customWidth="1"/>
    <col min="15862" max="15862" width="35.28515625" customWidth="1"/>
    <col min="15863" max="15863" width="6.7109375" customWidth="1"/>
    <col min="15864" max="15864" width="5.7109375" customWidth="1"/>
    <col min="15865" max="15865" width="5.85546875" customWidth="1"/>
    <col min="15866" max="15866" width="7.85546875" customWidth="1"/>
    <col min="15873" max="15873" width="7.140625" customWidth="1"/>
    <col min="15874" max="15874" width="39.42578125" customWidth="1"/>
    <col min="15875" max="15875" width="6.7109375" customWidth="1"/>
    <col min="15876" max="15876" width="5.7109375" customWidth="1"/>
    <col min="15877" max="15877" width="5.85546875" customWidth="1"/>
    <col min="15878" max="15878" width="7.85546875" customWidth="1"/>
    <col min="15879" max="15879" width="14.28515625" customWidth="1"/>
    <col min="15880" max="15880" width="14" customWidth="1"/>
    <col min="15881" max="15895" width="0" hidden="1" customWidth="1"/>
    <col min="15896" max="15896" width="11.5703125" customWidth="1"/>
    <col min="15897" max="15897" width="11.85546875" customWidth="1"/>
    <col min="15898" max="15898" width="15.7109375" customWidth="1"/>
    <col min="15899" max="15899" width="1.5703125" customWidth="1"/>
    <col min="15900" max="15900" width="10.5703125" customWidth="1"/>
    <col min="15901" max="15901" width="20.7109375" customWidth="1"/>
    <col min="15902" max="15902" width="2" customWidth="1"/>
    <col min="15903" max="15903" width="10.140625" customWidth="1"/>
    <col min="15904" max="15904" width="13.7109375" customWidth="1"/>
    <col min="15905" max="15905" width="16.5703125" customWidth="1"/>
    <col min="15906" max="15906" width="16" customWidth="1"/>
    <col min="15907" max="16116" width="9.42578125" customWidth="1"/>
    <col min="16117" max="16117" width="7.140625" customWidth="1"/>
    <col min="16118" max="16118" width="35.28515625" customWidth="1"/>
    <col min="16119" max="16119" width="6.7109375" customWidth="1"/>
    <col min="16120" max="16120" width="5.7109375" customWidth="1"/>
    <col min="16121" max="16121" width="5.85546875" customWidth="1"/>
    <col min="16122" max="16122" width="7.85546875" customWidth="1"/>
    <col min="16129" max="16129" width="7.140625" customWidth="1"/>
    <col min="16130" max="16130" width="39.42578125" customWidth="1"/>
    <col min="16131" max="16131" width="6.7109375" customWidth="1"/>
    <col min="16132" max="16132" width="5.7109375" customWidth="1"/>
    <col min="16133" max="16133" width="5.85546875" customWidth="1"/>
    <col min="16134" max="16134" width="7.85546875" customWidth="1"/>
    <col min="16135" max="16135" width="14.28515625" customWidth="1"/>
    <col min="16136" max="16136" width="14" customWidth="1"/>
    <col min="16137" max="16151" width="0" hidden="1" customWidth="1"/>
    <col min="16152" max="16152" width="11.5703125" customWidth="1"/>
    <col min="16153" max="16153" width="11.85546875" customWidth="1"/>
    <col min="16154" max="16154" width="15.7109375" customWidth="1"/>
    <col min="16155" max="16155" width="1.5703125" customWidth="1"/>
    <col min="16156" max="16156" width="10.5703125" customWidth="1"/>
    <col min="16157" max="16157" width="20.7109375" customWidth="1"/>
    <col min="16158" max="16158" width="2" customWidth="1"/>
    <col min="16159" max="16159" width="10.140625" customWidth="1"/>
    <col min="16160" max="16160" width="13.7109375" customWidth="1"/>
    <col min="16161" max="16161" width="16.5703125" customWidth="1"/>
    <col min="16162" max="16162" width="16" customWidth="1"/>
    <col min="16163" max="16372" width="9.42578125" customWidth="1"/>
    <col min="16373" max="16373" width="7.140625" customWidth="1"/>
    <col min="16374" max="16374" width="35.28515625" customWidth="1"/>
    <col min="16375" max="16375" width="6.7109375" customWidth="1"/>
    <col min="16376" max="16376" width="5.7109375" customWidth="1"/>
    <col min="16377" max="16377" width="5.85546875" customWidth="1"/>
    <col min="16378" max="16378" width="7.85546875" customWidth="1"/>
  </cols>
  <sheetData>
    <row r="1" spans="1:29" x14ac:dyDescent="0.25">
      <c r="K1" s="299"/>
      <c r="M1" s="366"/>
      <c r="O1" s="367"/>
    </row>
    <row r="2" spans="1:29" ht="15.75" x14ac:dyDescent="0.25">
      <c r="A2" s="1" t="s">
        <v>117</v>
      </c>
      <c r="B2" s="1"/>
      <c r="C2" s="2"/>
      <c r="D2" s="2"/>
      <c r="E2" s="2"/>
      <c r="F2" s="281"/>
      <c r="G2" s="282"/>
      <c r="K2" s="367"/>
      <c r="M2" s="366"/>
    </row>
    <row r="3" spans="1:29" ht="15.75" x14ac:dyDescent="0.25">
      <c r="A3" s="5" t="s">
        <v>118</v>
      </c>
      <c r="B3" s="5"/>
      <c r="C3" s="5"/>
      <c r="D3" s="2"/>
      <c r="E3" s="2"/>
      <c r="F3" s="281"/>
      <c r="G3" s="281"/>
      <c r="K3" s="368"/>
      <c r="M3" s="366"/>
      <c r="Q3" s="6"/>
      <c r="T3" s="6"/>
      <c r="AB3" s="7"/>
      <c r="AC3" s="7"/>
    </row>
    <row r="4" spans="1:29" ht="15.75" thickBot="1" x14ac:dyDescent="0.3">
      <c r="M4" s="369"/>
      <c r="AB4" s="7"/>
      <c r="AC4" s="7"/>
    </row>
    <row r="5" spans="1:29" ht="19.5" thickBot="1" x14ac:dyDescent="0.3">
      <c r="A5" s="8" t="s">
        <v>0</v>
      </c>
      <c r="B5" s="8" t="s">
        <v>1</v>
      </c>
      <c r="C5" s="336" t="s">
        <v>2</v>
      </c>
      <c r="D5" s="337"/>
      <c r="E5" s="338"/>
      <c r="F5" s="342" t="s">
        <v>3</v>
      </c>
      <c r="G5" s="342"/>
      <c r="H5" s="342"/>
      <c r="I5" s="9"/>
      <c r="J5" s="370" t="s">
        <v>119</v>
      </c>
      <c r="K5" s="371"/>
      <c r="L5" s="9"/>
      <c r="M5" s="362" t="s">
        <v>5</v>
      </c>
      <c r="N5" s="363"/>
    </row>
    <row r="6" spans="1:29" ht="15.75" thickBot="1" x14ac:dyDescent="0.3">
      <c r="A6" s="248"/>
      <c r="B6" s="248"/>
      <c r="C6" s="339"/>
      <c r="D6" s="340"/>
      <c r="E6" s="341"/>
      <c r="F6" s="335" t="s">
        <v>120</v>
      </c>
      <c r="G6" s="335"/>
      <c r="H6" s="335"/>
      <c r="I6" s="9"/>
      <c r="J6" s="372"/>
      <c r="K6" s="373"/>
      <c r="L6" s="9"/>
      <c r="M6" s="364"/>
      <c r="N6" s="365"/>
      <c r="P6" s="367"/>
    </row>
    <row r="7" spans="1:29" ht="30.75" thickBot="1" x14ac:dyDescent="0.3">
      <c r="A7" s="10"/>
      <c r="B7" s="10"/>
      <c r="C7" s="11" t="s">
        <v>6</v>
      </c>
      <c r="D7" s="12" t="s">
        <v>7</v>
      </c>
      <c r="E7" s="280" t="s">
        <v>8</v>
      </c>
      <c r="F7" s="16" t="s">
        <v>9</v>
      </c>
      <c r="G7" s="17" t="s">
        <v>10</v>
      </c>
      <c r="H7" s="15" t="s">
        <v>11</v>
      </c>
      <c r="I7" s="18"/>
      <c r="J7" s="19" t="s">
        <v>10</v>
      </c>
      <c r="K7" s="15" t="s">
        <v>11</v>
      </c>
      <c r="L7" s="20"/>
      <c r="M7" s="21" t="s">
        <v>12</v>
      </c>
      <c r="N7" s="15" t="s">
        <v>13</v>
      </c>
    </row>
    <row r="8" spans="1:29" x14ac:dyDescent="0.25">
      <c r="A8" s="22"/>
      <c r="B8" s="23"/>
      <c r="C8" s="24"/>
      <c r="D8" s="25"/>
      <c r="E8" s="26"/>
      <c r="F8" s="284"/>
      <c r="G8" s="285"/>
      <c r="H8" s="30"/>
      <c r="J8" s="24"/>
      <c r="K8" s="31"/>
      <c r="L8"/>
      <c r="M8" s="23"/>
      <c r="N8" s="30"/>
    </row>
    <row r="9" spans="1:29" x14ac:dyDescent="0.25">
      <c r="A9" s="32">
        <v>1</v>
      </c>
      <c r="B9" s="33" t="s">
        <v>14</v>
      </c>
      <c r="C9" s="34">
        <v>2</v>
      </c>
      <c r="D9" s="35">
        <v>1</v>
      </c>
      <c r="E9" s="36">
        <f t="shared" ref="E9:E28" si="0">C9+D9</f>
        <v>3</v>
      </c>
      <c r="F9" s="286">
        <f>1+2</f>
        <v>3</v>
      </c>
      <c r="G9" s="287">
        <f>15+83</f>
        <v>98</v>
      </c>
      <c r="H9" s="39">
        <f>571504+4278691</f>
        <v>4850195</v>
      </c>
      <c r="J9" s="40">
        <v>84</v>
      </c>
      <c r="K9" s="41">
        <v>3094444</v>
      </c>
      <c r="L9"/>
      <c r="M9" s="42">
        <f t="shared" ref="M9:N15" si="1">G9/J9</f>
        <v>1.1666666666666667</v>
      </c>
      <c r="N9" s="43">
        <f t="shared" si="1"/>
        <v>1.5673881963932779</v>
      </c>
    </row>
    <row r="10" spans="1:29" x14ac:dyDescent="0.25">
      <c r="A10" s="32">
        <f>A9+1</f>
        <v>2</v>
      </c>
      <c r="B10" s="33" t="s">
        <v>15</v>
      </c>
      <c r="C10" s="34">
        <v>6</v>
      </c>
      <c r="D10" s="35"/>
      <c r="E10" s="36">
        <f t="shared" si="0"/>
        <v>6</v>
      </c>
      <c r="F10" s="286">
        <f>5</f>
        <v>5</v>
      </c>
      <c r="G10" s="288">
        <f>128</f>
        <v>128</v>
      </c>
      <c r="H10" s="39">
        <f>6807306</f>
        <v>6807306</v>
      </c>
      <c r="J10" s="40">
        <v>84</v>
      </c>
      <c r="K10" s="41">
        <v>3235091</v>
      </c>
      <c r="L10"/>
      <c r="M10" s="42">
        <f t="shared" si="1"/>
        <v>1.5238095238095237</v>
      </c>
      <c r="N10" s="43">
        <f t="shared" si="1"/>
        <v>2.1042085060358424</v>
      </c>
    </row>
    <row r="11" spans="1:29" x14ac:dyDescent="0.25">
      <c r="A11" s="32">
        <f t="shared" ref="A11:A28" si="2">A10+1</f>
        <v>3</v>
      </c>
      <c r="B11" s="33" t="s">
        <v>16</v>
      </c>
      <c r="C11" s="34">
        <v>8</v>
      </c>
      <c r="D11" s="35">
        <v>4</v>
      </c>
      <c r="E11" s="36">
        <f t="shared" si="0"/>
        <v>12</v>
      </c>
      <c r="F11" s="286">
        <f>4+5</f>
        <v>9</v>
      </c>
      <c r="G11" s="287">
        <f>78+185</f>
        <v>263</v>
      </c>
      <c r="H11" s="39">
        <f>2916644+9189153</f>
        <v>12105797</v>
      </c>
      <c r="J11" s="40">
        <v>84</v>
      </c>
      <c r="K11" s="41">
        <v>3214643</v>
      </c>
      <c r="L11"/>
      <c r="M11" s="42">
        <f t="shared" si="1"/>
        <v>3.1309523809523809</v>
      </c>
      <c r="N11" s="43">
        <f t="shared" si="1"/>
        <v>3.7658293627006172</v>
      </c>
    </row>
    <row r="12" spans="1:29" x14ac:dyDescent="0.25">
      <c r="A12" s="32">
        <f t="shared" si="2"/>
        <v>4</v>
      </c>
      <c r="B12" s="44" t="s">
        <v>17</v>
      </c>
      <c r="C12" s="45">
        <v>3</v>
      </c>
      <c r="D12" s="46">
        <v>7</v>
      </c>
      <c r="E12" s="36">
        <f t="shared" si="0"/>
        <v>10</v>
      </c>
      <c r="F12" s="286"/>
      <c r="G12" s="288">
        <f>140</f>
        <v>140</v>
      </c>
      <c r="H12" s="39">
        <f>6610268</f>
        <v>6610268</v>
      </c>
      <c r="J12" s="40"/>
      <c r="K12" s="41"/>
      <c r="L12"/>
      <c r="M12" s="42" t="e">
        <f t="shared" si="1"/>
        <v>#DIV/0!</v>
      </c>
      <c r="N12" s="43" t="e">
        <f t="shared" si="1"/>
        <v>#DIV/0!</v>
      </c>
      <c r="P12" s="47"/>
    </row>
    <row r="13" spans="1:29" x14ac:dyDescent="0.25">
      <c r="A13" s="32">
        <f t="shared" si="2"/>
        <v>5</v>
      </c>
      <c r="B13" s="33" t="s">
        <v>18</v>
      </c>
      <c r="C13" s="34"/>
      <c r="D13" s="35"/>
      <c r="E13" s="36">
        <f t="shared" si="0"/>
        <v>0</v>
      </c>
      <c r="F13" s="286"/>
      <c r="G13" s="288"/>
      <c r="H13" s="39"/>
      <c r="J13" s="40"/>
      <c r="K13" s="41"/>
      <c r="L13"/>
      <c r="M13" s="42" t="e">
        <f t="shared" si="1"/>
        <v>#DIV/0!</v>
      </c>
      <c r="N13" s="43" t="e">
        <f t="shared" si="1"/>
        <v>#DIV/0!</v>
      </c>
      <c r="P13" s="47"/>
    </row>
    <row r="14" spans="1:29" x14ac:dyDescent="0.25">
      <c r="A14" s="32">
        <f t="shared" si="2"/>
        <v>6</v>
      </c>
      <c r="B14" s="33" t="s">
        <v>19</v>
      </c>
      <c r="C14" s="34"/>
      <c r="D14" s="35"/>
      <c r="E14" s="36">
        <f t="shared" si="0"/>
        <v>0</v>
      </c>
      <c r="F14" s="286"/>
      <c r="G14" s="288"/>
      <c r="H14" s="39"/>
      <c r="I14" s="48"/>
      <c r="J14" s="40"/>
      <c r="K14" s="41"/>
      <c r="L14" s="48"/>
      <c r="M14" s="42" t="e">
        <f t="shared" si="1"/>
        <v>#DIV/0!</v>
      </c>
      <c r="N14" s="43" t="e">
        <f t="shared" si="1"/>
        <v>#DIV/0!</v>
      </c>
      <c r="P14" s="47"/>
    </row>
    <row r="15" spans="1:29" x14ac:dyDescent="0.25">
      <c r="A15" s="32">
        <f t="shared" si="2"/>
        <v>7</v>
      </c>
      <c r="B15" s="33" t="s">
        <v>20</v>
      </c>
      <c r="C15" s="34"/>
      <c r="D15" s="35"/>
      <c r="E15" s="36">
        <f t="shared" si="0"/>
        <v>0</v>
      </c>
      <c r="F15" s="286"/>
      <c r="G15" s="288"/>
      <c r="H15" s="39"/>
      <c r="I15" s="48"/>
      <c r="J15" s="40"/>
      <c r="K15" s="41"/>
      <c r="L15" s="48"/>
      <c r="M15" s="42" t="e">
        <f t="shared" si="1"/>
        <v>#DIV/0!</v>
      </c>
      <c r="N15" s="43" t="e">
        <f t="shared" si="1"/>
        <v>#DIV/0!</v>
      </c>
      <c r="P15" s="47"/>
    </row>
    <row r="16" spans="1:29" x14ac:dyDescent="0.25">
      <c r="A16" s="32">
        <f t="shared" si="2"/>
        <v>8</v>
      </c>
      <c r="B16" s="33" t="s">
        <v>21</v>
      </c>
      <c r="C16" s="34">
        <v>4</v>
      </c>
      <c r="D16" s="35">
        <v>1</v>
      </c>
      <c r="E16" s="36">
        <f t="shared" si="0"/>
        <v>5</v>
      </c>
      <c r="F16" s="286">
        <f>1+3</f>
        <v>4</v>
      </c>
      <c r="G16" s="288">
        <f>28+101</f>
        <v>129</v>
      </c>
      <c r="H16" s="39">
        <f>1321292+5311310</f>
        <v>6632602</v>
      </c>
      <c r="I16" s="48"/>
      <c r="J16" s="40">
        <v>60</v>
      </c>
      <c r="K16" s="41">
        <v>2347464</v>
      </c>
      <c r="L16" s="48"/>
      <c r="M16" s="49">
        <f>(G16+G17)/J16</f>
        <v>2.15</v>
      </c>
      <c r="N16" s="50">
        <f>(H16+H17)/K16</f>
        <v>2.8254328926875982</v>
      </c>
      <c r="P16" s="47"/>
    </row>
    <row r="17" spans="1:14" x14ac:dyDescent="0.25">
      <c r="A17" s="32">
        <f t="shared" si="2"/>
        <v>9</v>
      </c>
      <c r="B17" s="33" t="s">
        <v>22</v>
      </c>
      <c r="C17" s="34"/>
      <c r="D17" s="35"/>
      <c r="E17" s="36">
        <f t="shared" si="0"/>
        <v>0</v>
      </c>
      <c r="F17" s="286"/>
      <c r="G17" s="288"/>
      <c r="H17" s="39"/>
      <c r="I17" s="48"/>
      <c r="J17" s="40"/>
      <c r="K17" s="41"/>
      <c r="L17" s="48"/>
      <c r="M17" s="42"/>
      <c r="N17" s="43"/>
    </row>
    <row r="18" spans="1:14" x14ac:dyDescent="0.25">
      <c r="A18" s="32">
        <f t="shared" si="2"/>
        <v>10</v>
      </c>
      <c r="B18" s="33" t="s">
        <v>23</v>
      </c>
      <c r="C18" s="34">
        <v>11</v>
      </c>
      <c r="D18" s="35">
        <v>1</v>
      </c>
      <c r="E18" s="36">
        <f t="shared" si="0"/>
        <v>12</v>
      </c>
      <c r="F18" s="286">
        <f>5</f>
        <v>5</v>
      </c>
      <c r="G18" s="287">
        <f>192</f>
        <v>192</v>
      </c>
      <c r="H18" s="39">
        <f>9628881</f>
        <v>9628881</v>
      </c>
      <c r="I18" s="48"/>
      <c r="J18" s="40">
        <v>120</v>
      </c>
      <c r="K18" s="41">
        <v>4423215</v>
      </c>
      <c r="L18" s="48"/>
      <c r="M18" s="42">
        <f t="shared" ref="M18:N27" si="3">G18/J18</f>
        <v>1.6</v>
      </c>
      <c r="N18" s="43">
        <f t="shared" si="3"/>
        <v>2.1768964429719109</v>
      </c>
    </row>
    <row r="19" spans="1:14" x14ac:dyDescent="0.25">
      <c r="A19" s="32">
        <f t="shared" si="2"/>
        <v>11</v>
      </c>
      <c r="B19" s="33" t="s">
        <v>24</v>
      </c>
      <c r="C19" s="34">
        <v>7</v>
      </c>
      <c r="D19" s="35">
        <v>1</v>
      </c>
      <c r="E19" s="36">
        <f t="shared" si="0"/>
        <v>8</v>
      </c>
      <c r="F19" s="286">
        <f>1+6</f>
        <v>7</v>
      </c>
      <c r="G19" s="288">
        <f>51+177</f>
        <v>228</v>
      </c>
      <c r="H19" s="39">
        <f>1901731+8890114</f>
        <v>10791845</v>
      </c>
      <c r="I19" s="48"/>
      <c r="J19" s="40">
        <v>132</v>
      </c>
      <c r="K19" s="41">
        <v>4881014</v>
      </c>
      <c r="L19" s="48"/>
      <c r="M19" s="42">
        <f t="shared" si="3"/>
        <v>1.7272727272727273</v>
      </c>
      <c r="N19" s="43">
        <f t="shared" si="3"/>
        <v>2.2109842340136701</v>
      </c>
    </row>
    <row r="20" spans="1:14" s="48" customFormat="1" x14ac:dyDescent="0.25">
      <c r="A20" s="32">
        <f t="shared" si="2"/>
        <v>12</v>
      </c>
      <c r="B20" s="52" t="s">
        <v>25</v>
      </c>
      <c r="C20" s="53">
        <v>5</v>
      </c>
      <c r="D20" s="54"/>
      <c r="E20" s="55">
        <f t="shared" si="0"/>
        <v>5</v>
      </c>
      <c r="F20" s="289">
        <f>5</f>
        <v>5</v>
      </c>
      <c r="G20" s="290">
        <f>124</f>
        <v>124</v>
      </c>
      <c r="H20" s="56">
        <f>6557325</f>
        <v>6557325</v>
      </c>
      <c r="J20" s="40"/>
      <c r="K20" s="41"/>
      <c r="M20" s="42" t="e">
        <f t="shared" si="3"/>
        <v>#DIV/0!</v>
      </c>
      <c r="N20" s="43" t="e">
        <f t="shared" si="3"/>
        <v>#DIV/0!</v>
      </c>
    </row>
    <row r="21" spans="1:14" x14ac:dyDescent="0.25">
      <c r="A21" s="32">
        <f t="shared" si="2"/>
        <v>13</v>
      </c>
      <c r="B21" s="33" t="s">
        <v>26</v>
      </c>
      <c r="C21" s="34">
        <v>9</v>
      </c>
      <c r="D21" s="35">
        <v>4</v>
      </c>
      <c r="E21" s="36">
        <f t="shared" si="0"/>
        <v>13</v>
      </c>
      <c r="F21" s="286">
        <f>4+2</f>
        <v>6</v>
      </c>
      <c r="G21" s="288">
        <f>55+58</f>
        <v>113</v>
      </c>
      <c r="H21" s="39">
        <f>2092861+2863382</f>
        <v>4956243</v>
      </c>
      <c r="I21" s="48"/>
      <c r="J21" s="40">
        <v>84</v>
      </c>
      <c r="K21" s="41">
        <v>3214643</v>
      </c>
      <c r="L21" s="48"/>
      <c r="M21" s="42">
        <f t="shared" si="3"/>
        <v>1.3452380952380953</v>
      </c>
      <c r="N21" s="43">
        <f t="shared" si="3"/>
        <v>1.5417708902668197</v>
      </c>
    </row>
    <row r="22" spans="1:14" x14ac:dyDescent="0.25">
      <c r="A22" s="32">
        <f t="shared" si="2"/>
        <v>14</v>
      </c>
      <c r="B22" s="33" t="s">
        <v>27</v>
      </c>
      <c r="C22" s="34">
        <v>3</v>
      </c>
      <c r="D22" s="35">
        <v>2</v>
      </c>
      <c r="E22" s="36">
        <f t="shared" si="0"/>
        <v>5</v>
      </c>
      <c r="F22" s="286">
        <f>2</f>
        <v>2</v>
      </c>
      <c r="G22" s="288">
        <f>12</f>
        <v>12</v>
      </c>
      <c r="H22" s="39">
        <f>443409</f>
        <v>443409</v>
      </c>
      <c r="I22" s="48"/>
      <c r="J22" s="40">
        <v>180</v>
      </c>
      <c r="K22" s="41">
        <v>6888521</v>
      </c>
      <c r="L22" s="48"/>
      <c r="M22" s="42">
        <f t="shared" si="3"/>
        <v>6.6666666666666666E-2</v>
      </c>
      <c r="N22" s="43">
        <f t="shared" si="3"/>
        <v>6.436926010677764E-2</v>
      </c>
    </row>
    <row r="23" spans="1:14" x14ac:dyDescent="0.25">
      <c r="A23" s="32">
        <f t="shared" si="2"/>
        <v>15</v>
      </c>
      <c r="B23" s="57" t="s">
        <v>28</v>
      </c>
      <c r="C23" s="34">
        <v>11</v>
      </c>
      <c r="D23" s="35">
        <v>8</v>
      </c>
      <c r="E23" s="36">
        <f t="shared" si="0"/>
        <v>19</v>
      </c>
      <c r="F23" s="286">
        <f>2+7</f>
        <v>9</v>
      </c>
      <c r="G23" s="288">
        <f>12+138</f>
        <v>150</v>
      </c>
      <c r="H23" s="39">
        <f>443409+6928601</f>
        <v>7372010</v>
      </c>
      <c r="I23" s="48"/>
      <c r="J23" s="40">
        <v>336</v>
      </c>
      <c r="K23" s="41">
        <v>12879020</v>
      </c>
      <c r="L23" s="48"/>
      <c r="M23" s="42">
        <f t="shared" si="3"/>
        <v>0.44642857142857145</v>
      </c>
      <c r="N23" s="43">
        <f t="shared" si="3"/>
        <v>0.57240457736691142</v>
      </c>
    </row>
    <row r="24" spans="1:14" x14ac:dyDescent="0.25">
      <c r="A24" s="32">
        <f t="shared" si="2"/>
        <v>16</v>
      </c>
      <c r="B24" s="246" t="s">
        <v>89</v>
      </c>
      <c r="C24" s="34"/>
      <c r="D24" s="35">
        <v>9</v>
      </c>
      <c r="E24" s="36">
        <f t="shared" si="0"/>
        <v>9</v>
      </c>
      <c r="F24" s="286">
        <f>8</f>
        <v>8</v>
      </c>
      <c r="G24" s="288">
        <f>115</f>
        <v>115</v>
      </c>
      <c r="H24" s="39">
        <f>4345403</f>
        <v>4345403</v>
      </c>
      <c r="I24" s="48"/>
      <c r="J24" s="40"/>
      <c r="K24" s="41"/>
      <c r="L24" s="48"/>
      <c r="M24" s="42" t="e">
        <f t="shared" si="3"/>
        <v>#DIV/0!</v>
      </c>
      <c r="N24" s="43" t="e">
        <f t="shared" si="3"/>
        <v>#DIV/0!</v>
      </c>
    </row>
    <row r="25" spans="1:14" x14ac:dyDescent="0.25">
      <c r="A25" s="32">
        <f t="shared" si="2"/>
        <v>17</v>
      </c>
      <c r="B25" s="33" t="s">
        <v>29</v>
      </c>
      <c r="C25" s="34">
        <v>16</v>
      </c>
      <c r="D25" s="35">
        <v>4</v>
      </c>
      <c r="E25" s="36">
        <f t="shared" si="0"/>
        <v>20</v>
      </c>
      <c r="F25" s="286">
        <f>4+15</f>
        <v>19</v>
      </c>
      <c r="G25" s="288">
        <f>28+141</f>
        <v>169</v>
      </c>
      <c r="H25" s="39">
        <f>1390893+7915853</f>
        <v>9306746</v>
      </c>
      <c r="J25" s="374">
        <v>356</v>
      </c>
      <c r="K25" s="375">
        <v>15449769</v>
      </c>
      <c r="L25"/>
      <c r="M25" s="42">
        <f t="shared" si="3"/>
        <v>0.4747191011235955</v>
      </c>
      <c r="N25" s="43">
        <f t="shared" si="3"/>
        <v>0.60238738844574313</v>
      </c>
    </row>
    <row r="26" spans="1:14" x14ac:dyDescent="0.25">
      <c r="A26" s="32">
        <f t="shared" si="2"/>
        <v>18</v>
      </c>
      <c r="B26" s="33" t="s">
        <v>30</v>
      </c>
      <c r="C26" s="34">
        <v>2</v>
      </c>
      <c r="D26" s="35">
        <v>7</v>
      </c>
      <c r="E26" s="36">
        <f t="shared" si="0"/>
        <v>9</v>
      </c>
      <c r="F26" s="286">
        <f>4+2</f>
        <v>6</v>
      </c>
      <c r="G26" s="288">
        <f>48+59</f>
        <v>107</v>
      </c>
      <c r="H26" s="39">
        <f>2192448+2920024</f>
        <v>5112472</v>
      </c>
      <c r="J26" s="40"/>
      <c r="K26" s="41"/>
      <c r="L26"/>
      <c r="M26" s="42" t="e">
        <f t="shared" si="3"/>
        <v>#DIV/0!</v>
      </c>
      <c r="N26" s="43" t="e">
        <f t="shared" si="3"/>
        <v>#DIV/0!</v>
      </c>
    </row>
    <row r="27" spans="1:14" x14ac:dyDescent="0.25">
      <c r="A27" s="32">
        <f t="shared" si="2"/>
        <v>19</v>
      </c>
      <c r="B27" s="33" t="s">
        <v>31</v>
      </c>
      <c r="C27" s="34">
        <v>2</v>
      </c>
      <c r="D27" s="35">
        <v>10</v>
      </c>
      <c r="E27" s="36">
        <f t="shared" si="0"/>
        <v>12</v>
      </c>
      <c r="F27" s="286">
        <f>5+2</f>
        <v>7</v>
      </c>
      <c r="G27" s="288">
        <f>144+80</f>
        <v>224</v>
      </c>
      <c r="H27" s="39">
        <f>6830316+3961792</f>
        <v>10792108</v>
      </c>
      <c r="J27" s="40">
        <v>851</v>
      </c>
      <c r="K27" s="41">
        <v>38663669</v>
      </c>
      <c r="L27"/>
      <c r="M27" s="42">
        <f t="shared" si="3"/>
        <v>0.26321974148061106</v>
      </c>
      <c r="N27" s="43">
        <f t="shared" si="3"/>
        <v>0.27912788100891306</v>
      </c>
    </row>
    <row r="28" spans="1:14" x14ac:dyDescent="0.25">
      <c r="A28" s="247">
        <f t="shared" si="2"/>
        <v>20</v>
      </c>
      <c r="B28" s="61" t="s">
        <v>32</v>
      </c>
      <c r="C28" s="62">
        <v>25</v>
      </c>
      <c r="D28" s="63">
        <v>10</v>
      </c>
      <c r="E28" s="64">
        <f t="shared" si="0"/>
        <v>35</v>
      </c>
      <c r="F28" s="286"/>
      <c r="G28" s="288"/>
      <c r="H28" s="39"/>
      <c r="J28" s="40">
        <v>876</v>
      </c>
      <c r="K28" s="41">
        <v>40733712</v>
      </c>
      <c r="L28"/>
      <c r="M28" s="65">
        <f>(G29+G30)/J28</f>
        <v>0.46118721461187212</v>
      </c>
      <c r="N28" s="66">
        <f>(H29+H30)/K28</f>
        <v>0.54543087062627638</v>
      </c>
    </row>
    <row r="29" spans="1:14" x14ac:dyDescent="0.25">
      <c r="A29" s="60"/>
      <c r="B29" s="61" t="s">
        <v>33</v>
      </c>
      <c r="C29" s="34"/>
      <c r="D29" s="35"/>
      <c r="E29" s="36"/>
      <c r="F29" s="286"/>
      <c r="G29" s="288"/>
      <c r="H29" s="39"/>
      <c r="J29" s="67"/>
      <c r="K29" s="68"/>
      <c r="L29"/>
      <c r="M29" s="69"/>
      <c r="N29" s="70"/>
    </row>
    <row r="30" spans="1:14" x14ac:dyDescent="0.25">
      <c r="A30" s="32"/>
      <c r="B30" s="33" t="s">
        <v>34</v>
      </c>
      <c r="C30" s="34"/>
      <c r="D30" s="35">
        <v>9</v>
      </c>
      <c r="E30" s="36"/>
      <c r="F30" s="286">
        <f>9+17+7</f>
        <v>33</v>
      </c>
      <c r="G30" s="288">
        <f>85+229+90</f>
        <v>404</v>
      </c>
      <c r="H30" s="39">
        <f>4438576+12925034+4853814</f>
        <v>22217424</v>
      </c>
      <c r="J30" s="40"/>
      <c r="K30" s="41"/>
      <c r="L30"/>
      <c r="M30" s="42"/>
      <c r="N30" s="43"/>
    </row>
    <row r="31" spans="1:14" x14ac:dyDescent="0.25">
      <c r="A31" s="32">
        <v>21</v>
      </c>
      <c r="B31" s="33" t="s">
        <v>35</v>
      </c>
      <c r="C31" s="34">
        <v>2</v>
      </c>
      <c r="D31" s="35">
        <v>3</v>
      </c>
      <c r="E31" s="36">
        <f t="shared" ref="E31:E41" si="4">C31+D31</f>
        <v>5</v>
      </c>
      <c r="F31" s="286">
        <f>1</f>
        <v>1</v>
      </c>
      <c r="G31" s="288">
        <f>24</f>
        <v>24</v>
      </c>
      <c r="H31" s="39">
        <f>1135530</f>
        <v>1135530</v>
      </c>
      <c r="J31" s="40">
        <v>60</v>
      </c>
      <c r="K31" s="41">
        <v>2316621</v>
      </c>
      <c r="L31"/>
      <c r="M31" s="42">
        <f>G31/J31</f>
        <v>0.4</v>
      </c>
      <c r="N31" s="43">
        <f>H31/K31</f>
        <v>0.49016649680720326</v>
      </c>
    </row>
    <row r="32" spans="1:14" x14ac:dyDescent="0.25">
      <c r="A32" s="60">
        <f t="shared" ref="A32:A41" si="5">A31+1</f>
        <v>22</v>
      </c>
      <c r="B32" s="61" t="s">
        <v>36</v>
      </c>
      <c r="C32" s="62">
        <v>8</v>
      </c>
      <c r="D32" s="63"/>
      <c r="E32" s="64">
        <f t="shared" si="4"/>
        <v>8</v>
      </c>
      <c r="F32" s="286">
        <f>6</f>
        <v>6</v>
      </c>
      <c r="G32" s="288">
        <f>265</f>
        <v>265</v>
      </c>
      <c r="H32" s="39">
        <f>13341538</f>
        <v>13341538</v>
      </c>
      <c r="J32" s="40">
        <v>252</v>
      </c>
      <c r="K32" s="41">
        <v>9695220</v>
      </c>
      <c r="L32"/>
      <c r="M32" s="73">
        <f>(G32+G33)/J32</f>
        <v>3.2063492063492065</v>
      </c>
      <c r="N32" s="50">
        <f>(H32+H33)/K32</f>
        <v>4.110199974832959</v>
      </c>
    </row>
    <row r="33" spans="1:14" x14ac:dyDescent="0.25">
      <c r="A33" s="32">
        <f t="shared" si="5"/>
        <v>23</v>
      </c>
      <c r="B33" s="33" t="s">
        <v>37</v>
      </c>
      <c r="C33" s="34">
        <v>9</v>
      </c>
      <c r="D33" s="35">
        <v>3</v>
      </c>
      <c r="E33" s="36">
        <f t="shared" si="4"/>
        <v>12</v>
      </c>
      <c r="F33" s="286">
        <f>4+8</f>
        <v>12</v>
      </c>
      <c r="G33" s="288">
        <f>180+363</f>
        <v>543</v>
      </c>
      <c r="H33" s="39">
        <f>8563793+17943962</f>
        <v>26507755</v>
      </c>
      <c r="J33" s="74"/>
      <c r="K33" s="68"/>
      <c r="L33"/>
      <c r="M33" s="42"/>
      <c r="N33" s="43"/>
    </row>
    <row r="34" spans="1:14" x14ac:dyDescent="0.25">
      <c r="A34" s="32">
        <f t="shared" si="5"/>
        <v>24</v>
      </c>
      <c r="B34" s="33" t="s">
        <v>38</v>
      </c>
      <c r="C34" s="34">
        <v>10</v>
      </c>
      <c r="D34" s="35">
        <v>3</v>
      </c>
      <c r="E34" s="36">
        <f t="shared" si="4"/>
        <v>13</v>
      </c>
      <c r="F34" s="286">
        <f>2+9</f>
        <v>11</v>
      </c>
      <c r="G34" s="288">
        <f>76+198</f>
        <v>274</v>
      </c>
      <c r="H34" s="39">
        <f>3599653+9753390</f>
        <v>13353043</v>
      </c>
      <c r="I34" s="48"/>
      <c r="J34" s="40">
        <v>144</v>
      </c>
      <c r="K34" s="41">
        <v>5575878</v>
      </c>
      <c r="L34" s="48"/>
      <c r="M34" s="42">
        <f t="shared" ref="M34:N41" si="6">G34/J34</f>
        <v>1.9027777777777777</v>
      </c>
      <c r="N34" s="43">
        <f t="shared" si="6"/>
        <v>2.3947875114914638</v>
      </c>
    </row>
    <row r="35" spans="1:14" x14ac:dyDescent="0.25">
      <c r="A35" s="32">
        <f t="shared" si="5"/>
        <v>25</v>
      </c>
      <c r="B35" s="33" t="s">
        <v>39</v>
      </c>
      <c r="C35" s="34">
        <v>8</v>
      </c>
      <c r="D35" s="35"/>
      <c r="E35" s="36">
        <f t="shared" si="4"/>
        <v>8</v>
      </c>
      <c r="F35" s="286">
        <f>1+3</f>
        <v>4</v>
      </c>
      <c r="G35" s="288">
        <f>16+16</f>
        <v>32</v>
      </c>
      <c r="H35" s="39">
        <f>801856+797083</f>
        <v>1598939</v>
      </c>
      <c r="I35" s="48"/>
      <c r="J35" s="40">
        <v>96</v>
      </c>
      <c r="K35" s="41">
        <v>3694325</v>
      </c>
      <c r="L35" s="48"/>
      <c r="M35" s="42">
        <f t="shared" si="6"/>
        <v>0.33333333333333331</v>
      </c>
      <c r="N35" s="43">
        <f t="shared" si="6"/>
        <v>0.43280951188647454</v>
      </c>
    </row>
    <row r="36" spans="1:14" x14ac:dyDescent="0.25">
      <c r="A36" s="32">
        <f t="shared" si="5"/>
        <v>26</v>
      </c>
      <c r="B36" s="33" t="s">
        <v>40</v>
      </c>
      <c r="C36" s="34">
        <v>1</v>
      </c>
      <c r="D36" s="35">
        <v>1</v>
      </c>
      <c r="E36" s="36">
        <f t="shared" si="4"/>
        <v>2</v>
      </c>
      <c r="F36" s="286">
        <f>1+1</f>
        <v>2</v>
      </c>
      <c r="G36" s="288">
        <f>32+10</f>
        <v>42</v>
      </c>
      <c r="H36" s="39">
        <f>1516232+509460</f>
        <v>2025692</v>
      </c>
      <c r="I36" s="48"/>
      <c r="J36" s="40">
        <v>24</v>
      </c>
      <c r="K36" s="41">
        <v>938917</v>
      </c>
      <c r="L36" s="48"/>
      <c r="M36" s="42">
        <f t="shared" si="6"/>
        <v>1.75</v>
      </c>
      <c r="N36" s="43">
        <f t="shared" si="6"/>
        <v>2.1574771784939455</v>
      </c>
    </row>
    <row r="37" spans="1:14" x14ac:dyDescent="0.25">
      <c r="A37" s="32">
        <f t="shared" si="5"/>
        <v>27</v>
      </c>
      <c r="B37" s="33" t="s">
        <v>41</v>
      </c>
      <c r="C37" s="34">
        <v>4</v>
      </c>
      <c r="D37" s="35"/>
      <c r="E37" s="36">
        <f t="shared" si="4"/>
        <v>4</v>
      </c>
      <c r="F37" s="286">
        <f>4</f>
        <v>4</v>
      </c>
      <c r="G37" s="288">
        <f>163</f>
        <v>163</v>
      </c>
      <c r="H37" s="39">
        <f>8165283</f>
        <v>8165283</v>
      </c>
      <c r="I37" s="48"/>
      <c r="J37" s="58"/>
      <c r="K37" s="59"/>
      <c r="L37" s="48"/>
      <c r="M37" s="42" t="e">
        <f t="shared" si="6"/>
        <v>#DIV/0!</v>
      </c>
      <c r="N37" s="43" t="e">
        <f t="shared" si="6"/>
        <v>#DIV/0!</v>
      </c>
    </row>
    <row r="38" spans="1:14" x14ac:dyDescent="0.25">
      <c r="A38" s="32">
        <f t="shared" si="5"/>
        <v>28</v>
      </c>
      <c r="B38" s="33" t="s">
        <v>42</v>
      </c>
      <c r="C38" s="34">
        <v>3</v>
      </c>
      <c r="D38" s="35"/>
      <c r="E38" s="36">
        <f t="shared" si="4"/>
        <v>3</v>
      </c>
      <c r="F38" s="286">
        <f>2</f>
        <v>2</v>
      </c>
      <c r="G38" s="288">
        <f>18</f>
        <v>18</v>
      </c>
      <c r="H38" s="39">
        <f>944198</f>
        <v>944198</v>
      </c>
      <c r="J38" s="40">
        <v>72</v>
      </c>
      <c r="K38" s="41">
        <v>2960420</v>
      </c>
      <c r="L38"/>
      <c r="M38" s="42">
        <f t="shared" si="6"/>
        <v>0.25</v>
      </c>
      <c r="N38" s="43">
        <f t="shared" si="6"/>
        <v>0.31894055573195695</v>
      </c>
    </row>
    <row r="39" spans="1:14" x14ac:dyDescent="0.25">
      <c r="A39" s="32">
        <f t="shared" si="5"/>
        <v>29</v>
      </c>
      <c r="B39" s="44" t="s">
        <v>43</v>
      </c>
      <c r="C39" s="45">
        <v>1</v>
      </c>
      <c r="D39" s="46">
        <v>15</v>
      </c>
      <c r="E39" s="36">
        <f t="shared" si="4"/>
        <v>16</v>
      </c>
      <c r="F39" s="286">
        <f>3+1</f>
        <v>4</v>
      </c>
      <c r="G39" s="287">
        <f>17+4</f>
        <v>21</v>
      </c>
      <c r="H39" s="39">
        <f>811164+206835</f>
        <v>1017999</v>
      </c>
      <c r="J39" s="58"/>
      <c r="K39" s="59"/>
      <c r="L39"/>
      <c r="M39" s="42" t="e">
        <f t="shared" si="6"/>
        <v>#DIV/0!</v>
      </c>
      <c r="N39" s="43" t="e">
        <f t="shared" si="6"/>
        <v>#DIV/0!</v>
      </c>
    </row>
    <row r="40" spans="1:14" x14ac:dyDescent="0.25">
      <c r="A40" s="32">
        <f t="shared" si="5"/>
        <v>30</v>
      </c>
      <c r="B40" s="33" t="s">
        <v>44</v>
      </c>
      <c r="C40" s="34">
        <v>4</v>
      </c>
      <c r="D40" s="35">
        <v>3</v>
      </c>
      <c r="E40" s="36">
        <f t="shared" si="4"/>
        <v>7</v>
      </c>
      <c r="F40" s="286">
        <f>3+3</f>
        <v>6</v>
      </c>
      <c r="G40" s="288">
        <f>59+139</f>
        <v>198</v>
      </c>
      <c r="H40" s="39">
        <f>2204801+7293110</f>
        <v>9497911</v>
      </c>
      <c r="J40" s="58">
        <v>144</v>
      </c>
      <c r="K40" s="59">
        <v>5628401</v>
      </c>
      <c r="L40"/>
      <c r="M40" s="42">
        <f t="shared" si="6"/>
        <v>1.375</v>
      </c>
      <c r="N40" s="43">
        <f t="shared" si="6"/>
        <v>1.6874972127963164</v>
      </c>
    </row>
    <row r="41" spans="1:14" x14ac:dyDescent="0.25">
      <c r="A41" s="32">
        <f t="shared" si="5"/>
        <v>31</v>
      </c>
      <c r="B41" s="44" t="s">
        <v>45</v>
      </c>
      <c r="C41" s="34">
        <v>1</v>
      </c>
      <c r="D41" s="35"/>
      <c r="E41" s="36">
        <f t="shared" si="4"/>
        <v>1</v>
      </c>
      <c r="F41" s="286"/>
      <c r="G41" s="288"/>
      <c r="H41" s="39"/>
      <c r="J41" s="58"/>
      <c r="K41" s="59"/>
      <c r="L41"/>
      <c r="M41" s="42" t="e">
        <f t="shared" si="6"/>
        <v>#DIV/0!</v>
      </c>
      <c r="N41" s="43" t="e">
        <f t="shared" si="6"/>
        <v>#DIV/0!</v>
      </c>
    </row>
    <row r="42" spans="1:14" ht="15.75" thickBot="1" x14ac:dyDescent="0.3">
      <c r="A42" s="75"/>
      <c r="B42" s="76"/>
      <c r="C42" s="45"/>
      <c r="D42" s="46"/>
      <c r="E42" s="77"/>
      <c r="F42" s="291"/>
      <c r="G42" s="292"/>
      <c r="H42" s="80"/>
      <c r="J42" s="81"/>
      <c r="K42" s="82"/>
      <c r="L42"/>
      <c r="M42" s="83"/>
      <c r="N42" s="84"/>
    </row>
    <row r="43" spans="1:14" ht="15.75" thickBot="1" x14ac:dyDescent="0.3">
      <c r="A43" s="85"/>
      <c r="B43" s="86" t="s">
        <v>46</v>
      </c>
      <c r="C43" s="87">
        <f>SUM(C9:C41)</f>
        <v>165</v>
      </c>
      <c r="D43" s="88">
        <f>SUM(D9:D41)</f>
        <v>106</v>
      </c>
      <c r="E43" s="89">
        <f>SUM(E9:E40)</f>
        <v>261</v>
      </c>
      <c r="F43" s="293">
        <f>SUM(F9:F40)</f>
        <v>180</v>
      </c>
      <c r="G43" s="294">
        <f>SUM(G9:G42)</f>
        <v>4176</v>
      </c>
      <c r="H43" s="92">
        <f>SUM(H9:H42)</f>
        <v>206117922</v>
      </c>
      <c r="J43" s="94">
        <f>SUM(J9:J42)</f>
        <v>4039</v>
      </c>
      <c r="K43" s="95">
        <f>SUM(K9:K42)</f>
        <v>169834987</v>
      </c>
      <c r="L43"/>
      <c r="M43" s="96">
        <f>G43/J43</f>
        <v>1.0339192869522158</v>
      </c>
      <c r="N43" s="97">
        <f>H43/K43</f>
        <v>1.2136363987238978</v>
      </c>
    </row>
    <row r="44" spans="1:14" x14ac:dyDescent="0.25">
      <c r="A44" s="60"/>
      <c r="B44" s="98"/>
      <c r="C44" s="62"/>
      <c r="D44" s="63"/>
      <c r="E44" s="64"/>
      <c r="F44" s="295"/>
      <c r="G44" s="296"/>
      <c r="H44" s="100"/>
      <c r="J44" s="67"/>
      <c r="K44" s="101"/>
      <c r="L44"/>
      <c r="M44" s="69"/>
      <c r="N44" s="70"/>
    </row>
    <row r="45" spans="1:14" x14ac:dyDescent="0.25">
      <c r="A45" s="32"/>
      <c r="B45" s="102"/>
      <c r="C45" s="34"/>
      <c r="D45" s="35"/>
      <c r="E45" s="36"/>
      <c r="F45" s="297"/>
      <c r="G45" s="296"/>
      <c r="H45" s="63"/>
      <c r="J45" s="40"/>
      <c r="K45" s="103"/>
      <c r="L45"/>
      <c r="M45" s="42"/>
      <c r="N45" s="104"/>
    </row>
    <row r="46" spans="1:14" x14ac:dyDescent="0.25">
      <c r="A46" s="32"/>
      <c r="B46" s="105"/>
      <c r="C46" s="34"/>
      <c r="D46" s="35"/>
      <c r="E46" s="36"/>
      <c r="F46" s="297"/>
      <c r="G46" s="298"/>
      <c r="H46" s="100"/>
      <c r="J46" s="67"/>
      <c r="K46" s="101"/>
      <c r="L46"/>
      <c r="M46" s="42"/>
      <c r="N46" s="104"/>
    </row>
    <row r="47" spans="1:14" x14ac:dyDescent="0.25">
      <c r="A47" s="32">
        <v>1</v>
      </c>
      <c r="B47" s="33" t="s">
        <v>47</v>
      </c>
      <c r="C47" s="34">
        <v>4</v>
      </c>
      <c r="D47" s="35">
        <v>3</v>
      </c>
      <c r="E47" s="36">
        <f t="shared" ref="E47:E52" si="7">C47+D47</f>
        <v>7</v>
      </c>
      <c r="F47" s="286">
        <f>2+2</f>
        <v>4</v>
      </c>
      <c r="G47" s="288">
        <f>56+56</f>
        <v>112</v>
      </c>
      <c r="H47" s="39">
        <f>2830296+3000963</f>
        <v>5831259</v>
      </c>
      <c r="J47" s="106"/>
      <c r="K47" s="68"/>
      <c r="L47"/>
      <c r="M47" s="42" t="e">
        <f t="shared" ref="M47:N49" si="8">G47/J47</f>
        <v>#DIV/0!</v>
      </c>
      <c r="N47" s="43" t="e">
        <f t="shared" si="8"/>
        <v>#DIV/0!</v>
      </c>
    </row>
    <row r="48" spans="1:14" x14ac:dyDescent="0.25">
      <c r="A48" s="32">
        <v>2</v>
      </c>
      <c r="B48" s="33" t="s">
        <v>48</v>
      </c>
      <c r="C48" s="34">
        <v>8</v>
      </c>
      <c r="D48" s="35">
        <v>2</v>
      </c>
      <c r="E48" s="36">
        <f t="shared" si="7"/>
        <v>10</v>
      </c>
      <c r="F48" s="286">
        <f>3</f>
        <v>3</v>
      </c>
      <c r="G48" s="288">
        <f>85</f>
        <v>85</v>
      </c>
      <c r="H48" s="39">
        <f>4379476</f>
        <v>4379476</v>
      </c>
      <c r="I48" s="48"/>
      <c r="J48" s="106"/>
      <c r="K48" s="107"/>
      <c r="L48" s="48"/>
      <c r="M48" s="42" t="e">
        <f t="shared" si="8"/>
        <v>#DIV/0!</v>
      </c>
      <c r="N48" s="43" t="e">
        <f t="shared" si="8"/>
        <v>#DIV/0!</v>
      </c>
    </row>
    <row r="49" spans="1:16" x14ac:dyDescent="0.25">
      <c r="A49" s="32">
        <v>3</v>
      </c>
      <c r="B49" s="33" t="s">
        <v>49</v>
      </c>
      <c r="C49" s="34">
        <v>12</v>
      </c>
      <c r="D49" s="35">
        <v>3</v>
      </c>
      <c r="E49" s="36">
        <f t="shared" si="7"/>
        <v>15</v>
      </c>
      <c r="F49" s="286">
        <f>1+10</f>
        <v>11</v>
      </c>
      <c r="G49" s="288">
        <f>33+266</f>
        <v>299</v>
      </c>
      <c r="H49" s="39">
        <f>1592043+14129216</f>
        <v>15721259</v>
      </c>
      <c r="J49" s="106">
        <v>792</v>
      </c>
      <c r="K49" s="41">
        <v>40072688</v>
      </c>
      <c r="L49"/>
      <c r="M49" s="42">
        <f t="shared" si="8"/>
        <v>0.37752525252525254</v>
      </c>
      <c r="N49" s="43">
        <f t="shared" si="8"/>
        <v>0.39231855372417246</v>
      </c>
    </row>
    <row r="50" spans="1:16" x14ac:dyDescent="0.25">
      <c r="A50" s="32">
        <v>4</v>
      </c>
      <c r="B50" s="33" t="s">
        <v>50</v>
      </c>
      <c r="C50" s="34">
        <v>12</v>
      </c>
      <c r="D50" s="35">
        <v>4</v>
      </c>
      <c r="E50" s="36">
        <f t="shared" si="7"/>
        <v>16</v>
      </c>
      <c r="F50" s="286">
        <f>2+1+8</f>
        <v>11</v>
      </c>
      <c r="G50" s="288">
        <f>17.5+5+140.5</f>
        <v>163</v>
      </c>
      <c r="H50" s="39">
        <f>824230+258163+7316610</f>
        <v>8399003</v>
      </c>
      <c r="J50" s="106"/>
      <c r="K50" s="68"/>
      <c r="L50"/>
      <c r="M50" s="109" t="e">
        <f>(G50+G51)/J50</f>
        <v>#DIV/0!</v>
      </c>
      <c r="N50" s="66" t="e">
        <f>(H50+H51)/K50</f>
        <v>#DIV/0!</v>
      </c>
      <c r="O50" s="110"/>
      <c r="P50" s="111"/>
    </row>
    <row r="51" spans="1:16" x14ac:dyDescent="0.25">
      <c r="A51" s="32">
        <v>5</v>
      </c>
      <c r="B51" s="33" t="s">
        <v>51</v>
      </c>
      <c r="C51" s="34">
        <v>20</v>
      </c>
      <c r="D51" s="35">
        <v>7</v>
      </c>
      <c r="E51" s="36">
        <f t="shared" si="7"/>
        <v>27</v>
      </c>
      <c r="F51" s="286">
        <f>6+7+1</f>
        <v>14</v>
      </c>
      <c r="G51" s="288">
        <f>53+135+10.5</f>
        <v>198.5</v>
      </c>
      <c r="H51" s="39">
        <f>2484161+7126858+531599</f>
        <v>10142618</v>
      </c>
      <c r="J51" s="112"/>
      <c r="K51" s="113"/>
      <c r="L51"/>
      <c r="M51" s="42"/>
      <c r="N51" s="43"/>
      <c r="O51" s="110"/>
      <c r="P51" s="111"/>
    </row>
    <row r="52" spans="1:16" x14ac:dyDescent="0.25">
      <c r="A52" s="32">
        <v>6</v>
      </c>
      <c r="B52" s="33" t="s">
        <v>52</v>
      </c>
      <c r="C52" s="34">
        <v>17</v>
      </c>
      <c r="D52" s="35">
        <v>2</v>
      </c>
      <c r="E52" s="36">
        <f t="shared" si="7"/>
        <v>19</v>
      </c>
      <c r="F52" s="286">
        <f>1+13</f>
        <v>14</v>
      </c>
      <c r="G52" s="288">
        <f>36+194</f>
        <v>230</v>
      </c>
      <c r="H52" s="39">
        <f>1741516+10106495</f>
        <v>11848011</v>
      </c>
      <c r="J52" s="112">
        <v>216</v>
      </c>
      <c r="K52" s="113">
        <v>8132769</v>
      </c>
      <c r="L52"/>
      <c r="M52" s="42">
        <f>G52/J52</f>
        <v>1.0648148148148149</v>
      </c>
      <c r="N52" s="43">
        <f>H52/K52</f>
        <v>1.4568237460082785</v>
      </c>
    </row>
    <row r="53" spans="1:16" ht="15.75" thickBot="1" x14ac:dyDescent="0.3">
      <c r="A53" s="75"/>
      <c r="B53" s="76"/>
      <c r="C53" s="45"/>
      <c r="D53" s="46"/>
      <c r="E53" s="77"/>
      <c r="F53" s="291"/>
      <c r="G53" s="292"/>
      <c r="H53" s="80"/>
      <c r="J53" s="115"/>
      <c r="K53" s="116"/>
      <c r="L53"/>
      <c r="M53" s="83"/>
      <c r="N53" s="117"/>
    </row>
    <row r="54" spans="1:16" ht="15.75" thickBot="1" x14ac:dyDescent="0.3">
      <c r="A54" s="118"/>
      <c r="B54" s="119" t="s">
        <v>53</v>
      </c>
      <c r="C54" s="120">
        <f t="shared" ref="C54:H54" si="9">SUM(C47:C52)</f>
        <v>73</v>
      </c>
      <c r="D54" s="121">
        <f t="shared" si="9"/>
        <v>21</v>
      </c>
      <c r="E54" s="122">
        <f t="shared" si="9"/>
        <v>94</v>
      </c>
      <c r="F54" s="300">
        <f>SUM(F47:F53)</f>
        <v>57</v>
      </c>
      <c r="G54" s="301">
        <f t="shared" si="9"/>
        <v>1087.5</v>
      </c>
      <c r="H54" s="125">
        <f t="shared" si="9"/>
        <v>56321626</v>
      </c>
      <c r="J54" s="127">
        <f>SUM(J47:J53)</f>
        <v>1008</v>
      </c>
      <c r="K54" s="127">
        <f>SUM(K47:K53)</f>
        <v>48205457</v>
      </c>
      <c r="L54"/>
      <c r="M54" s="128">
        <f>G54/J54</f>
        <v>1.0788690476190477</v>
      </c>
      <c r="N54" s="129">
        <f>H54/K54</f>
        <v>1.1683661872555218</v>
      </c>
      <c r="O54" s="130"/>
      <c r="P54" s="130"/>
    </row>
    <row r="55" spans="1:16" x14ac:dyDescent="0.25">
      <c r="A55" s="60"/>
      <c r="B55" s="98"/>
      <c r="C55" s="62"/>
      <c r="D55" s="63"/>
      <c r="E55" s="131"/>
      <c r="F55" s="295"/>
      <c r="G55" s="302"/>
      <c r="H55" s="132"/>
      <c r="J55" s="40"/>
      <c r="K55" s="103"/>
      <c r="L55"/>
      <c r="M55" s="69"/>
      <c r="N55" s="70"/>
    </row>
    <row r="56" spans="1:16" x14ac:dyDescent="0.25">
      <c r="A56" s="32"/>
      <c r="B56" s="102"/>
      <c r="C56" s="34"/>
      <c r="D56" s="35"/>
      <c r="E56" s="64"/>
      <c r="F56" s="297"/>
      <c r="G56" s="303"/>
      <c r="H56" s="39"/>
      <c r="J56" s="40"/>
      <c r="K56" s="103"/>
      <c r="L56"/>
      <c r="M56" s="42"/>
      <c r="N56" s="104"/>
    </row>
    <row r="57" spans="1:16" x14ac:dyDescent="0.25">
      <c r="A57" s="32"/>
      <c r="B57" s="105"/>
      <c r="C57" s="34"/>
      <c r="D57" s="35"/>
      <c r="E57" s="36"/>
      <c r="F57" s="286"/>
      <c r="G57" s="288"/>
      <c r="H57" s="39"/>
      <c r="J57" s="40"/>
      <c r="K57" s="103"/>
      <c r="L57"/>
      <c r="M57" s="42"/>
      <c r="N57" s="104"/>
    </row>
    <row r="58" spans="1:16" x14ac:dyDescent="0.25">
      <c r="A58" s="32">
        <v>1</v>
      </c>
      <c r="B58" s="33" t="s">
        <v>54</v>
      </c>
      <c r="C58" s="34">
        <v>2</v>
      </c>
      <c r="D58" s="35">
        <v>3</v>
      </c>
      <c r="E58" s="36">
        <f t="shared" ref="E58:E64" si="10">C58+D58</f>
        <v>5</v>
      </c>
      <c r="F58" s="286">
        <f>3+2</f>
        <v>5</v>
      </c>
      <c r="G58" s="288">
        <f>204+84.5</f>
        <v>288.5</v>
      </c>
      <c r="H58" s="39">
        <f>11529612+4764649</f>
        <v>16294261</v>
      </c>
      <c r="I58" s="48"/>
      <c r="J58" s="135">
        <v>375</v>
      </c>
      <c r="K58" s="136">
        <v>15139675</v>
      </c>
      <c r="L58" s="48"/>
      <c r="M58" s="42">
        <f>G58/J58</f>
        <v>0.76933333333333331</v>
      </c>
      <c r="N58" s="43">
        <f t="shared" ref="M58:N64" si="11">H58/K58</f>
        <v>1.0762622711517915</v>
      </c>
    </row>
    <row r="59" spans="1:16" x14ac:dyDescent="0.25">
      <c r="A59" s="32">
        <f>A58+1</f>
        <v>2</v>
      </c>
      <c r="B59" s="44" t="s">
        <v>55</v>
      </c>
      <c r="C59" s="45">
        <v>2</v>
      </c>
      <c r="D59" s="46"/>
      <c r="E59" s="36">
        <f t="shared" si="10"/>
        <v>2</v>
      </c>
      <c r="F59" s="286">
        <f>1</f>
        <v>1</v>
      </c>
      <c r="G59" s="288">
        <f>25</f>
        <v>25</v>
      </c>
      <c r="H59" s="39">
        <f>1250496</f>
        <v>1250496</v>
      </c>
      <c r="I59" s="48"/>
      <c r="J59" s="40"/>
      <c r="K59" s="103"/>
      <c r="L59" s="48"/>
      <c r="M59" s="42" t="e">
        <f t="shared" si="11"/>
        <v>#DIV/0!</v>
      </c>
      <c r="N59" s="43" t="e">
        <f t="shared" si="11"/>
        <v>#DIV/0!</v>
      </c>
    </row>
    <row r="60" spans="1:16" x14ac:dyDescent="0.25">
      <c r="A60" s="32">
        <f>A59+1</f>
        <v>3</v>
      </c>
      <c r="B60" s="33" t="s">
        <v>56</v>
      </c>
      <c r="C60" s="34">
        <v>7</v>
      </c>
      <c r="D60" s="35"/>
      <c r="E60" s="36">
        <f t="shared" si="10"/>
        <v>7</v>
      </c>
      <c r="F60" s="286">
        <f>1+2</f>
        <v>3</v>
      </c>
      <c r="G60" s="288">
        <f>83+22</f>
        <v>105</v>
      </c>
      <c r="H60" s="39">
        <f>4287399+1125909</f>
        <v>5413308</v>
      </c>
      <c r="I60" s="48"/>
      <c r="J60" s="40"/>
      <c r="K60" s="103"/>
      <c r="L60" s="48"/>
      <c r="M60" s="42" t="e">
        <f t="shared" si="11"/>
        <v>#DIV/0!</v>
      </c>
      <c r="N60" s="43" t="e">
        <f t="shared" si="11"/>
        <v>#DIV/0!</v>
      </c>
    </row>
    <row r="61" spans="1:16" x14ac:dyDescent="0.25">
      <c r="A61" s="32">
        <f>A60+1</f>
        <v>4</v>
      </c>
      <c r="B61" s="33" t="s">
        <v>57</v>
      </c>
      <c r="C61" s="34">
        <v>9</v>
      </c>
      <c r="D61" s="35">
        <v>6</v>
      </c>
      <c r="E61" s="36">
        <f t="shared" si="10"/>
        <v>15</v>
      </c>
      <c r="F61" s="286">
        <f>8+10</f>
        <v>18</v>
      </c>
      <c r="G61" s="288">
        <f>384+635.5</f>
        <v>1019.5</v>
      </c>
      <c r="H61" s="39">
        <f>18333450+33312343</f>
        <v>51645793</v>
      </c>
      <c r="J61" s="40">
        <v>1479</v>
      </c>
      <c r="K61" s="103">
        <v>60500048</v>
      </c>
      <c r="L61"/>
      <c r="M61" s="42">
        <f t="shared" si="11"/>
        <v>0.68931710615280595</v>
      </c>
      <c r="N61" s="43">
        <f t="shared" si="11"/>
        <v>0.85364879379930414</v>
      </c>
    </row>
    <row r="62" spans="1:16" x14ac:dyDescent="0.25">
      <c r="A62" s="32">
        <f>A61+1</f>
        <v>5</v>
      </c>
      <c r="B62" s="33" t="s">
        <v>58</v>
      </c>
      <c r="C62" s="34">
        <v>2</v>
      </c>
      <c r="D62" s="35"/>
      <c r="E62" s="36">
        <f t="shared" si="10"/>
        <v>2</v>
      </c>
      <c r="F62" s="286"/>
      <c r="G62" s="288"/>
      <c r="H62" s="39"/>
      <c r="I62" s="48"/>
      <c r="J62" s="40"/>
      <c r="K62" s="41"/>
      <c r="L62" s="48"/>
      <c r="M62" s="42" t="e">
        <f t="shared" si="11"/>
        <v>#DIV/0!</v>
      </c>
      <c r="N62" s="43" t="e">
        <f t="shared" si="11"/>
        <v>#DIV/0!</v>
      </c>
    </row>
    <row r="63" spans="1:16" x14ac:dyDescent="0.25">
      <c r="A63" s="75">
        <f>A62+1</f>
        <v>6</v>
      </c>
      <c r="B63" s="44" t="s">
        <v>59</v>
      </c>
      <c r="C63" s="45">
        <v>1</v>
      </c>
      <c r="D63" s="46"/>
      <c r="E63" s="36">
        <f t="shared" si="10"/>
        <v>1</v>
      </c>
      <c r="F63" s="286"/>
      <c r="G63" s="288"/>
      <c r="H63" s="39"/>
      <c r="I63" s="48"/>
      <c r="J63" s="137">
        <v>12</v>
      </c>
      <c r="K63" s="55">
        <v>485319</v>
      </c>
      <c r="L63" s="48"/>
      <c r="M63" s="42">
        <f t="shared" si="11"/>
        <v>0</v>
      </c>
      <c r="N63" s="43">
        <f t="shared" si="11"/>
        <v>0</v>
      </c>
    </row>
    <row r="64" spans="1:16" x14ac:dyDescent="0.25">
      <c r="A64" s="32">
        <v>7</v>
      </c>
      <c r="B64" s="33" t="s">
        <v>60</v>
      </c>
      <c r="C64" s="34">
        <v>3</v>
      </c>
      <c r="D64" s="35">
        <v>1</v>
      </c>
      <c r="E64" s="36">
        <f t="shared" si="10"/>
        <v>4</v>
      </c>
      <c r="F64" s="286">
        <f>1+1</f>
        <v>2</v>
      </c>
      <c r="G64" s="288">
        <f>14+7</f>
        <v>21</v>
      </c>
      <c r="H64" s="39">
        <f>703332+390530</f>
        <v>1093862</v>
      </c>
      <c r="J64" s="138"/>
      <c r="K64" s="139"/>
      <c r="L64"/>
      <c r="M64" s="42" t="e">
        <f t="shared" si="11"/>
        <v>#DIV/0!</v>
      </c>
      <c r="N64" s="43" t="e">
        <f t="shared" si="11"/>
        <v>#DIV/0!</v>
      </c>
    </row>
    <row r="65" spans="1:14" ht="15.75" thickBot="1" x14ac:dyDescent="0.3">
      <c r="A65" s="32"/>
      <c r="B65" s="33"/>
      <c r="C65" s="34"/>
      <c r="D65" s="35"/>
      <c r="E65" s="36"/>
      <c r="F65" s="286"/>
      <c r="G65" s="288"/>
      <c r="H65" s="39"/>
      <c r="J65" s="138"/>
      <c r="K65" s="139"/>
      <c r="L65"/>
      <c r="M65" s="42"/>
      <c r="N65" s="43"/>
    </row>
    <row r="66" spans="1:14" ht="15.75" thickBot="1" x14ac:dyDescent="0.3">
      <c r="A66" s="140"/>
      <c r="B66" s="141" t="s">
        <v>61</v>
      </c>
      <c r="C66" s="142">
        <f t="shared" ref="C66:K66" si="12">SUM(C58:C64)</f>
        <v>26</v>
      </c>
      <c r="D66" s="143">
        <f t="shared" si="12"/>
        <v>10</v>
      </c>
      <c r="E66" s="143">
        <f t="shared" si="12"/>
        <v>36</v>
      </c>
      <c r="F66" s="304">
        <f t="shared" si="12"/>
        <v>29</v>
      </c>
      <c r="G66" s="305">
        <f t="shared" si="12"/>
        <v>1459</v>
      </c>
      <c r="H66" s="147">
        <f t="shared" si="12"/>
        <v>75697720</v>
      </c>
      <c r="I66" s="306"/>
      <c r="J66" s="147">
        <f t="shared" si="12"/>
        <v>1866</v>
      </c>
      <c r="K66" s="147">
        <f t="shared" si="12"/>
        <v>76125042</v>
      </c>
      <c r="L66"/>
      <c r="M66" s="149">
        <f>G66/J66</f>
        <v>0.78188638799571275</v>
      </c>
      <c r="N66" s="150">
        <f>H66/K66</f>
        <v>0.99438657780970419</v>
      </c>
    </row>
    <row r="67" spans="1:14" x14ac:dyDescent="0.25">
      <c r="A67" s="60"/>
      <c r="B67" s="98"/>
      <c r="C67" s="62"/>
      <c r="D67" s="63"/>
      <c r="E67" s="64"/>
      <c r="F67" s="295"/>
      <c r="G67" s="302"/>
      <c r="H67" s="100"/>
      <c r="J67" s="40"/>
      <c r="K67" s="103"/>
      <c r="L67"/>
      <c r="M67" s="69"/>
      <c r="N67" s="70"/>
    </row>
    <row r="68" spans="1:14" x14ac:dyDescent="0.25">
      <c r="A68" s="32"/>
      <c r="B68" s="102"/>
      <c r="C68" s="34"/>
      <c r="D68" s="35"/>
      <c r="E68" s="36"/>
      <c r="F68" s="297"/>
      <c r="G68" s="303"/>
      <c r="H68" s="39"/>
      <c r="J68" s="40"/>
      <c r="K68" s="103"/>
      <c r="L68"/>
      <c r="M68" s="42"/>
      <c r="N68" s="104"/>
    </row>
    <row r="69" spans="1:14" x14ac:dyDescent="0.25">
      <c r="A69" s="32"/>
      <c r="B69" s="105"/>
      <c r="C69" s="34"/>
      <c r="D69" s="35"/>
      <c r="E69" s="36"/>
      <c r="F69" s="297"/>
      <c r="G69" s="303"/>
      <c r="H69" s="39"/>
      <c r="J69" s="40"/>
      <c r="K69" s="103"/>
      <c r="L69"/>
      <c r="M69" s="42"/>
      <c r="N69" s="104"/>
    </row>
    <row r="70" spans="1:14" x14ac:dyDescent="0.25">
      <c r="A70" s="32">
        <v>1</v>
      </c>
      <c r="B70" s="33" t="s">
        <v>62</v>
      </c>
      <c r="C70" s="34">
        <v>6</v>
      </c>
      <c r="D70" s="35"/>
      <c r="E70" s="36">
        <f t="shared" ref="E70:E75" si="13">C70+D70</f>
        <v>6</v>
      </c>
      <c r="F70" s="286">
        <f>1</f>
        <v>1</v>
      </c>
      <c r="G70" s="288">
        <f>16.5</f>
        <v>16.5</v>
      </c>
      <c r="H70" s="39">
        <f>822087</f>
        <v>822087</v>
      </c>
      <c r="J70" s="112"/>
      <c r="K70" s="113"/>
      <c r="L70"/>
      <c r="M70" s="42" t="e">
        <f t="shared" ref="M70:N74" si="14">G70/J70</f>
        <v>#DIV/0!</v>
      </c>
      <c r="N70" s="43" t="e">
        <f t="shared" si="14"/>
        <v>#DIV/0!</v>
      </c>
    </row>
    <row r="71" spans="1:14" x14ac:dyDescent="0.25">
      <c r="A71" s="32">
        <f>A70+1</f>
        <v>2</v>
      </c>
      <c r="B71" s="33" t="s">
        <v>63</v>
      </c>
      <c r="C71" s="34">
        <v>3</v>
      </c>
      <c r="D71" s="35"/>
      <c r="E71" s="36">
        <f t="shared" si="13"/>
        <v>3</v>
      </c>
      <c r="F71" s="286"/>
      <c r="G71" s="288"/>
      <c r="H71" s="39"/>
      <c r="J71" s="112"/>
      <c r="K71" s="113"/>
      <c r="L71"/>
      <c r="M71" s="42" t="e">
        <f t="shared" si="14"/>
        <v>#DIV/0!</v>
      </c>
      <c r="N71" s="43" t="e">
        <f t="shared" si="14"/>
        <v>#DIV/0!</v>
      </c>
    </row>
    <row r="72" spans="1:14" x14ac:dyDescent="0.25">
      <c r="A72" s="32">
        <f>A71+1</f>
        <v>3</v>
      </c>
      <c r="B72" s="33" t="s">
        <v>64</v>
      </c>
      <c r="C72" s="34">
        <v>2</v>
      </c>
      <c r="D72" s="35">
        <v>1</v>
      </c>
      <c r="E72" s="36">
        <f t="shared" si="13"/>
        <v>3</v>
      </c>
      <c r="F72" s="286">
        <f>1</f>
        <v>1</v>
      </c>
      <c r="G72" s="288">
        <f>17</f>
        <v>17</v>
      </c>
      <c r="H72" s="39">
        <f>668390</f>
        <v>668390</v>
      </c>
      <c r="J72" s="112"/>
      <c r="K72" s="113"/>
      <c r="L72"/>
      <c r="M72" s="42" t="e">
        <f t="shared" si="14"/>
        <v>#DIV/0!</v>
      </c>
      <c r="N72" s="43" t="e">
        <f t="shared" si="14"/>
        <v>#DIV/0!</v>
      </c>
    </row>
    <row r="73" spans="1:14" x14ac:dyDescent="0.25">
      <c r="A73" s="32">
        <f>A72+1</f>
        <v>4</v>
      </c>
      <c r="B73" s="33" t="s">
        <v>65</v>
      </c>
      <c r="C73" s="34">
        <v>6</v>
      </c>
      <c r="D73" s="35">
        <v>4</v>
      </c>
      <c r="E73" s="36">
        <f t="shared" si="13"/>
        <v>10</v>
      </c>
      <c r="F73" s="286">
        <f>1+3</f>
        <v>4</v>
      </c>
      <c r="G73" s="288">
        <f>7+35</f>
        <v>42</v>
      </c>
      <c r="H73" s="39">
        <f>275219+1831650</f>
        <v>2106869</v>
      </c>
      <c r="J73" s="112">
        <v>30</v>
      </c>
      <c r="K73" s="113">
        <v>1403417</v>
      </c>
      <c r="L73"/>
      <c r="M73" s="42">
        <f t="shared" si="14"/>
        <v>1.4</v>
      </c>
      <c r="N73" s="43">
        <f t="shared" si="14"/>
        <v>1.5012423249825249</v>
      </c>
    </row>
    <row r="74" spans="1:14" x14ac:dyDescent="0.25">
      <c r="A74" s="32">
        <f>A73+1</f>
        <v>5</v>
      </c>
      <c r="B74" s="33" t="s">
        <v>66</v>
      </c>
      <c r="C74" s="34">
        <v>2</v>
      </c>
      <c r="D74" s="35"/>
      <c r="E74" s="36">
        <f t="shared" si="13"/>
        <v>2</v>
      </c>
      <c r="F74" s="286"/>
      <c r="G74" s="288"/>
      <c r="H74" s="39"/>
      <c r="I74" s="48"/>
      <c r="J74" s="40"/>
      <c r="K74" s="103"/>
      <c r="L74" s="48"/>
      <c r="M74" s="42" t="e">
        <f t="shared" si="14"/>
        <v>#DIV/0!</v>
      </c>
      <c r="N74" s="43" t="e">
        <f t="shared" si="14"/>
        <v>#DIV/0!</v>
      </c>
    </row>
    <row r="75" spans="1:14" x14ac:dyDescent="0.25">
      <c r="A75" s="32">
        <f>A74+1</f>
        <v>6</v>
      </c>
      <c r="B75" s="33" t="s">
        <v>67</v>
      </c>
      <c r="C75" s="34">
        <v>8</v>
      </c>
      <c r="D75" s="35">
        <v>2</v>
      </c>
      <c r="E75" s="36">
        <f t="shared" si="13"/>
        <v>10</v>
      </c>
      <c r="F75" s="286"/>
      <c r="G75" s="288"/>
      <c r="H75" s="39"/>
      <c r="J75" s="135">
        <v>250</v>
      </c>
      <c r="K75" s="136">
        <v>9351537</v>
      </c>
      <c r="L75"/>
      <c r="M75" s="65">
        <f>(G76+G77)/J75</f>
        <v>0</v>
      </c>
      <c r="N75" s="66">
        <f>(H76+H77)/K75</f>
        <v>0</v>
      </c>
    </row>
    <row r="76" spans="1:14" s="48" customFormat="1" x14ac:dyDescent="0.25">
      <c r="A76" s="51"/>
      <c r="B76" s="57" t="s">
        <v>68</v>
      </c>
      <c r="C76" s="53"/>
      <c r="D76" s="54"/>
      <c r="E76" s="55"/>
      <c r="F76" s="289"/>
      <c r="G76" s="290"/>
      <c r="H76" s="56"/>
      <c r="J76" s="40"/>
      <c r="K76" s="103"/>
      <c r="M76" s="49" t="e">
        <f>(G76+G77)/J76</f>
        <v>#DIV/0!</v>
      </c>
      <c r="N76" s="50" t="e">
        <f>(H76+H77)/K76</f>
        <v>#DIV/0!</v>
      </c>
    </row>
    <row r="77" spans="1:14" x14ac:dyDescent="0.25">
      <c r="A77" s="32"/>
      <c r="B77" s="57" t="s">
        <v>69</v>
      </c>
      <c r="C77" s="34"/>
      <c r="D77" s="35"/>
      <c r="E77" s="36"/>
      <c r="F77" s="286"/>
      <c r="G77" s="288"/>
      <c r="H77" s="39"/>
      <c r="J77" s="40"/>
      <c r="K77" s="103"/>
      <c r="L77"/>
      <c r="M77" s="42"/>
      <c r="N77" s="43"/>
    </row>
    <row r="78" spans="1:14" x14ac:dyDescent="0.25">
      <c r="A78" s="32">
        <v>7</v>
      </c>
      <c r="B78" s="33" t="s">
        <v>70</v>
      </c>
      <c r="C78" s="34"/>
      <c r="D78" s="35"/>
      <c r="E78" s="36">
        <f>C78+D78</f>
        <v>0</v>
      </c>
      <c r="F78" s="286"/>
      <c r="G78" s="288"/>
      <c r="H78" s="39"/>
      <c r="J78" s="40"/>
      <c r="K78" s="103"/>
      <c r="L78"/>
      <c r="M78" s="109" t="e">
        <f>(G78+G82)/J78</f>
        <v>#DIV/0!</v>
      </c>
      <c r="N78" s="66" t="e">
        <f>(H78+H82)/K78</f>
        <v>#DIV/0!</v>
      </c>
    </row>
    <row r="79" spans="1:14" x14ac:dyDescent="0.25">
      <c r="A79" s="32">
        <f>A78+1</f>
        <v>8</v>
      </c>
      <c r="B79" s="33" t="s">
        <v>71</v>
      </c>
      <c r="C79" s="34">
        <v>3</v>
      </c>
      <c r="D79" s="35"/>
      <c r="E79" s="36">
        <f>C79+D79</f>
        <v>3</v>
      </c>
      <c r="F79" s="286"/>
      <c r="G79" s="288"/>
      <c r="H79" s="39"/>
      <c r="J79" s="112"/>
      <c r="K79" s="113"/>
      <c r="L79"/>
      <c r="M79" s="42" t="e">
        <f>G79/J79</f>
        <v>#DIV/0!</v>
      </c>
      <c r="N79" s="43" t="e">
        <f>H79/K79</f>
        <v>#DIV/0!</v>
      </c>
    </row>
    <row r="80" spans="1:14" x14ac:dyDescent="0.25">
      <c r="A80" s="32">
        <f>A79+1</f>
        <v>9</v>
      </c>
      <c r="B80" s="33" t="s">
        <v>72</v>
      </c>
      <c r="C80" s="34">
        <v>3</v>
      </c>
      <c r="D80" s="35">
        <v>2</v>
      </c>
      <c r="E80" s="36">
        <f>C80+D80</f>
        <v>5</v>
      </c>
      <c r="F80" s="286">
        <f>1+1</f>
        <v>2</v>
      </c>
      <c r="G80" s="288">
        <f>16+28</f>
        <v>44</v>
      </c>
      <c r="H80" s="39">
        <f>806841+1517320</f>
        <v>2324161</v>
      </c>
      <c r="J80" s="112">
        <v>35</v>
      </c>
      <c r="K80" s="113">
        <v>1745620</v>
      </c>
      <c r="L80"/>
      <c r="M80" s="153">
        <f>(G79+G80)/J80</f>
        <v>1.2571428571428571</v>
      </c>
      <c r="N80" s="50">
        <f>(H79+H80)/K80</f>
        <v>1.3314243649820694</v>
      </c>
    </row>
    <row r="81" spans="1:32" s="48" customFormat="1" x14ac:dyDescent="0.25">
      <c r="A81" s="51">
        <f>A80+1</f>
        <v>10</v>
      </c>
      <c r="B81" s="154" t="s">
        <v>73</v>
      </c>
      <c r="C81" s="53">
        <v>6</v>
      </c>
      <c r="D81" s="54">
        <v>1</v>
      </c>
      <c r="E81" s="55">
        <f>C81+D81</f>
        <v>7</v>
      </c>
      <c r="F81" s="289"/>
      <c r="G81" s="290"/>
      <c r="H81" s="56"/>
      <c r="J81" s="112">
        <v>528</v>
      </c>
      <c r="K81" s="113">
        <v>20198726</v>
      </c>
      <c r="M81" s="155">
        <f>(G82+G83)/J81</f>
        <v>0.375</v>
      </c>
      <c r="N81" s="66">
        <f>(H82+H83)/K81</f>
        <v>0.49545684217905622</v>
      </c>
    </row>
    <row r="82" spans="1:32" s="48" customFormat="1" x14ac:dyDescent="0.25">
      <c r="A82" s="51"/>
      <c r="B82" s="154" t="s">
        <v>74</v>
      </c>
      <c r="C82" s="53"/>
      <c r="D82" s="54"/>
      <c r="E82" s="55">
        <f>C82+D82</f>
        <v>0</v>
      </c>
      <c r="F82" s="289">
        <f>1+5</f>
        <v>6</v>
      </c>
      <c r="G82" s="290">
        <f>18.5+179.5</f>
        <v>198</v>
      </c>
      <c r="H82" s="56">
        <f>885873+9121724</f>
        <v>10007597</v>
      </c>
      <c r="J82" s="112"/>
      <c r="K82" s="113"/>
      <c r="M82" s="109"/>
      <c r="N82" s="66"/>
    </row>
    <row r="83" spans="1:32" s="48" customFormat="1" x14ac:dyDescent="0.25">
      <c r="A83" s="51"/>
      <c r="B83" s="156" t="s">
        <v>75</v>
      </c>
      <c r="C83" s="157"/>
      <c r="D83" s="158"/>
      <c r="E83" s="55"/>
      <c r="F83" s="289"/>
      <c r="G83" s="307"/>
      <c r="H83" s="56"/>
      <c r="J83" s="112"/>
      <c r="K83" s="113"/>
      <c r="M83" s="109"/>
      <c r="N83" s="66"/>
    </row>
    <row r="84" spans="1:32" x14ac:dyDescent="0.25">
      <c r="A84" s="32">
        <f>A81+1</f>
        <v>11</v>
      </c>
      <c r="B84" s="33" t="s">
        <v>76</v>
      </c>
      <c r="C84" s="53"/>
      <c r="D84" s="54"/>
      <c r="E84" s="36">
        <f>C84+D84</f>
        <v>0</v>
      </c>
      <c r="F84" s="286"/>
      <c r="G84" s="288"/>
      <c r="H84" s="35"/>
      <c r="J84" s="112"/>
      <c r="K84" s="113"/>
      <c r="L84"/>
      <c r="M84" s="42" t="e">
        <f>G84/J84</f>
        <v>#DIV/0!</v>
      </c>
      <c r="N84" s="43" t="e">
        <f>H84/K84</f>
        <v>#DIV/0!</v>
      </c>
    </row>
    <row r="85" spans="1:32" ht="15.75" thickBot="1" x14ac:dyDescent="0.3">
      <c r="A85" s="159"/>
      <c r="B85" s="76"/>
      <c r="C85" s="45"/>
      <c r="D85" s="46"/>
      <c r="E85" s="77"/>
      <c r="F85" s="291"/>
      <c r="G85" s="292"/>
      <c r="H85" s="80"/>
      <c r="J85" s="137"/>
      <c r="K85" s="116"/>
      <c r="L85"/>
      <c r="M85" s="83"/>
      <c r="N85" s="117"/>
    </row>
    <row r="86" spans="1:32" ht="15.75" thickBot="1" x14ac:dyDescent="0.3">
      <c r="A86" s="160"/>
      <c r="B86" s="161" t="s">
        <v>77</v>
      </c>
      <c r="C86" s="162">
        <f t="shared" ref="C86:H86" si="15">SUM(C69:C84)</f>
        <v>39</v>
      </c>
      <c r="D86" s="163">
        <f t="shared" si="15"/>
        <v>10</v>
      </c>
      <c r="E86" s="164">
        <f t="shared" si="15"/>
        <v>49</v>
      </c>
      <c r="F86" s="308">
        <f t="shared" si="15"/>
        <v>14</v>
      </c>
      <c r="G86" s="277">
        <f t="shared" si="15"/>
        <v>317.5</v>
      </c>
      <c r="H86" s="167">
        <f t="shared" si="15"/>
        <v>15929104</v>
      </c>
      <c r="J86" s="169">
        <f>SUM(J69:J85)</f>
        <v>843</v>
      </c>
      <c r="K86" s="170">
        <f>SUM(K69:K85)</f>
        <v>32699300</v>
      </c>
      <c r="L86"/>
      <c r="M86" s="171">
        <f>G86/J86</f>
        <v>0.37663107947805458</v>
      </c>
      <c r="N86" s="172">
        <f>H86/K86</f>
        <v>0.48713899074292111</v>
      </c>
    </row>
    <row r="87" spans="1:32" x14ac:dyDescent="0.25">
      <c r="A87" s="173"/>
      <c r="B87" s="98"/>
      <c r="C87" s="62"/>
      <c r="D87" s="63"/>
      <c r="E87" s="100"/>
      <c r="F87" s="309"/>
      <c r="G87" s="302"/>
      <c r="H87" s="174"/>
      <c r="J87" s="175"/>
      <c r="K87" s="176"/>
      <c r="L87"/>
      <c r="M87" s="177"/>
      <c r="N87" s="178"/>
    </row>
    <row r="88" spans="1:32" x14ac:dyDescent="0.25">
      <c r="A88" s="179"/>
      <c r="B88" s="102"/>
      <c r="C88" s="180"/>
      <c r="D88" s="181"/>
      <c r="E88" s="182"/>
      <c r="F88" s="310"/>
      <c r="G88" s="311"/>
      <c r="H88" s="184"/>
      <c r="J88" s="99"/>
      <c r="K88" s="174"/>
      <c r="L88"/>
      <c r="M88" s="177"/>
      <c r="N88" s="178"/>
    </row>
    <row r="89" spans="1:32" x14ac:dyDescent="0.25">
      <c r="A89" s="179"/>
      <c r="B89" s="185"/>
      <c r="C89" s="34"/>
      <c r="D89" s="35"/>
      <c r="E89" s="39"/>
      <c r="F89" s="312"/>
      <c r="G89" s="303"/>
      <c r="H89" s="152"/>
      <c r="J89" s="186"/>
      <c r="K89" s="152"/>
      <c r="L89"/>
      <c r="M89" s="42"/>
      <c r="N89" s="43"/>
    </row>
    <row r="90" spans="1:32" ht="15.75" thickBot="1" x14ac:dyDescent="0.3">
      <c r="A90" s="187"/>
      <c r="B90" s="188"/>
      <c r="C90" s="189"/>
      <c r="D90" s="190"/>
      <c r="E90" s="191"/>
      <c r="F90" s="313"/>
      <c r="G90" s="314"/>
      <c r="H90" s="191"/>
      <c r="J90" s="194"/>
      <c r="K90" s="195"/>
      <c r="L90"/>
      <c r="M90" s="196"/>
      <c r="N90" s="197"/>
    </row>
    <row r="91" spans="1:32" ht="15.75" thickBot="1" x14ac:dyDescent="0.3">
      <c r="A91" s="198"/>
      <c r="B91" s="199" t="s">
        <v>78</v>
      </c>
      <c r="C91" s="200">
        <f t="shared" ref="C91:G91" si="16">C86+C66+C54+C43</f>
        <v>303</v>
      </c>
      <c r="D91" s="200">
        <f t="shared" si="16"/>
        <v>147</v>
      </c>
      <c r="E91" s="200">
        <f t="shared" si="16"/>
        <v>440</v>
      </c>
      <c r="F91" s="315">
        <f>F86+F66+F54+F43</f>
        <v>280</v>
      </c>
      <c r="G91" s="316">
        <f t="shared" si="16"/>
        <v>7040</v>
      </c>
      <c r="H91" s="200">
        <f>H86+H66+H54+H43</f>
        <v>354066372</v>
      </c>
      <c r="J91" s="200">
        <f>J86+J66+J54+J43</f>
        <v>7756</v>
      </c>
      <c r="K91" s="200">
        <f>K86+K66+K54+K43</f>
        <v>326864786</v>
      </c>
      <c r="L91"/>
      <c r="M91" s="202">
        <f>G91/J91</f>
        <v>0.90768437338834451</v>
      </c>
      <c r="N91" s="203">
        <f>H91/K91</f>
        <v>1.0832196895018236</v>
      </c>
    </row>
    <row r="92" spans="1:32" x14ac:dyDescent="0.25">
      <c r="G92" s="317"/>
      <c r="H92" s="204"/>
      <c r="J92" s="110"/>
      <c r="K92" s="111"/>
      <c r="M92" s="205"/>
      <c r="N92" s="206"/>
      <c r="P92" s="110"/>
      <c r="Q92" s="111"/>
      <c r="S92" s="110"/>
      <c r="T92" s="111"/>
      <c r="V92" s="110"/>
      <c r="W92" s="111"/>
      <c r="Y92" s="111"/>
      <c r="Z92" s="111"/>
      <c r="AB92" s="110"/>
      <c r="AC92" s="110"/>
      <c r="AE92" s="207"/>
      <c r="AF92" s="207"/>
    </row>
    <row r="93" spans="1:32" x14ac:dyDescent="0.25">
      <c r="C93" s="208"/>
      <c r="D93" s="209"/>
      <c r="E93" s="209"/>
      <c r="G93" s="317"/>
      <c r="H93" s="204"/>
      <c r="J93" s="204"/>
      <c r="K93" s="204"/>
      <c r="M93" s="204"/>
      <c r="N93" s="204"/>
      <c r="P93" s="204"/>
      <c r="Q93" s="110"/>
      <c r="S93" s="204"/>
      <c r="T93" s="110"/>
      <c r="V93" s="110"/>
      <c r="W93" s="110"/>
      <c r="Y93" s="110"/>
      <c r="Z93" s="110"/>
      <c r="AB93" s="110"/>
      <c r="AC93" s="110"/>
      <c r="AE93" s="207"/>
      <c r="AF93" s="207"/>
    </row>
    <row r="94" spans="1:32" ht="15.75" thickBot="1" x14ac:dyDescent="0.3">
      <c r="B94" s="210"/>
      <c r="C94" s="208"/>
      <c r="D94" s="209"/>
      <c r="E94" s="209"/>
      <c r="F94" s="318"/>
      <c r="G94" s="319"/>
      <c r="H94" s="209"/>
      <c r="K94" s="110"/>
      <c r="X94" s="111"/>
      <c r="Y94" s="111"/>
      <c r="Z94" s="111"/>
      <c r="AE94" s="207"/>
      <c r="AF94" s="207"/>
    </row>
    <row r="95" spans="1:32" ht="30.75" thickBot="1" x14ac:dyDescent="0.3">
      <c r="E95" s="210"/>
      <c r="F95" s="320" t="s">
        <v>79</v>
      </c>
      <c r="G95" s="214" t="s">
        <v>80</v>
      </c>
      <c r="H95" s="215" t="s">
        <v>81</v>
      </c>
      <c r="J95" s="330" t="str">
        <f>J5</f>
        <v>BUDGET SEPTEMBER</v>
      </c>
      <c r="K95" s="331"/>
      <c r="L95"/>
      <c r="M95" s="332" t="s">
        <v>5</v>
      </c>
      <c r="N95" s="333"/>
    </row>
    <row r="96" spans="1:32" x14ac:dyDescent="0.25">
      <c r="E96" s="209"/>
      <c r="F96" s="321" t="s">
        <v>82</v>
      </c>
      <c r="G96" s="322">
        <f>G43+G54</f>
        <v>5263.5</v>
      </c>
      <c r="H96" s="218">
        <f>H43+H54</f>
        <v>262439548</v>
      </c>
      <c r="J96" s="219">
        <f>J43+J54</f>
        <v>5047</v>
      </c>
      <c r="K96" s="219">
        <f>K43+K54</f>
        <v>218040444</v>
      </c>
      <c r="L96"/>
      <c r="M96" s="220">
        <f>G96/J96</f>
        <v>1.0428967703586289</v>
      </c>
      <c r="N96" s="221">
        <f>H96/K96</f>
        <v>1.2036278370447639</v>
      </c>
    </row>
    <row r="97" spans="2:29" x14ac:dyDescent="0.25">
      <c r="E97" s="209"/>
      <c r="F97" s="323" t="s">
        <v>83</v>
      </c>
      <c r="G97" s="324">
        <f>G66</f>
        <v>1459</v>
      </c>
      <c r="H97" s="223">
        <f>H66</f>
        <v>75697720</v>
      </c>
      <c r="J97" s="224">
        <f>J66</f>
        <v>1866</v>
      </c>
      <c r="K97" s="224">
        <f>K66</f>
        <v>76125042</v>
      </c>
      <c r="L97"/>
      <c r="M97" s="225">
        <f t="shared" ref="M97:N99" si="17">G97/J97</f>
        <v>0.78188638799571275</v>
      </c>
      <c r="N97" s="226">
        <f t="shared" si="17"/>
        <v>0.99438657780970419</v>
      </c>
    </row>
    <row r="98" spans="2:29" ht="15.75" thickBot="1" x14ac:dyDescent="0.3">
      <c r="E98" s="209"/>
      <c r="F98" s="323" t="s">
        <v>84</v>
      </c>
      <c r="G98" s="325">
        <f>G86</f>
        <v>317.5</v>
      </c>
      <c r="H98" s="228">
        <f>H86</f>
        <v>15929104</v>
      </c>
      <c r="J98" s="229">
        <f>J86</f>
        <v>843</v>
      </c>
      <c r="K98" s="230">
        <f>K86</f>
        <v>32699300</v>
      </c>
      <c r="L98"/>
      <c r="M98" s="231">
        <f t="shared" si="17"/>
        <v>0.37663107947805458</v>
      </c>
      <c r="N98" s="232">
        <f t="shared" si="17"/>
        <v>0.48713899074292111</v>
      </c>
    </row>
    <row r="99" spans="2:29" ht="15.75" thickBot="1" x14ac:dyDescent="0.3">
      <c r="F99" s="326" t="s">
        <v>78</v>
      </c>
      <c r="G99" s="327">
        <f>SUM(G96:G98)</f>
        <v>7040</v>
      </c>
      <c r="H99" s="236">
        <f>SUM(H96:H98)</f>
        <v>354066372</v>
      </c>
      <c r="J99" s="237">
        <f>SUM(J96:J98)</f>
        <v>7756</v>
      </c>
      <c r="K99" s="238">
        <f>SUM(K96:K98)</f>
        <v>326864786</v>
      </c>
      <c r="L99"/>
      <c r="M99" s="239">
        <f t="shared" si="17"/>
        <v>0.90768437338834451</v>
      </c>
      <c r="N99" s="240">
        <f t="shared" si="17"/>
        <v>1.0832196895018236</v>
      </c>
    </row>
    <row r="100" spans="2:29" x14ac:dyDescent="0.25">
      <c r="C100" s="208"/>
      <c r="D100" s="209"/>
      <c r="E100" s="209"/>
      <c r="F100" s="319"/>
      <c r="G100" s="319"/>
      <c r="H100" s="209"/>
      <c r="I100" s="4"/>
      <c r="J100" s="4"/>
      <c r="K100" s="4"/>
      <c r="R100" s="209"/>
      <c r="S100" s="209"/>
      <c r="T100" s="209"/>
      <c r="U100" s="209"/>
      <c r="V100" s="209"/>
      <c r="W100" s="209"/>
      <c r="X100" s="209"/>
      <c r="Y100" s="241"/>
      <c r="Z100" s="241"/>
      <c r="AA100" s="241"/>
      <c r="AB100" s="241"/>
      <c r="AC100" s="241"/>
    </row>
    <row r="101" spans="2:29" x14ac:dyDescent="0.25">
      <c r="AB101" s="242"/>
      <c r="AC101" s="242"/>
    </row>
    <row r="103" spans="2:29" x14ac:dyDescent="0.25">
      <c r="B103" s="47"/>
    </row>
    <row r="104" spans="2:29" x14ac:dyDescent="0.25">
      <c r="B104" s="47"/>
    </row>
    <row r="105" spans="2:29" x14ac:dyDescent="0.25">
      <c r="B105" s="47"/>
    </row>
    <row r="106" spans="2:29" x14ac:dyDescent="0.25">
      <c r="B106" s="47"/>
    </row>
  </sheetData>
  <mergeCells count="7">
    <mergeCell ref="C5:E6"/>
    <mergeCell ref="F5:H5"/>
    <mergeCell ref="J5:K6"/>
    <mergeCell ref="M5:N6"/>
    <mergeCell ref="F6:H6"/>
    <mergeCell ref="J95:K95"/>
    <mergeCell ref="M95:N9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</vt:lpstr>
      <vt:lpstr>Feb</vt:lpstr>
      <vt:lpstr>Mar</vt:lpstr>
      <vt:lpstr>April</vt:lpstr>
      <vt:lpstr>Mei</vt:lpstr>
      <vt:lpstr>Juni</vt:lpstr>
      <vt:lpstr>Juli</vt:lpstr>
      <vt:lpstr>Agt</vt:lpstr>
      <vt:lpstr>Sept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2022-11-01T03:56:28Z</dcterms:modified>
</cp:coreProperties>
</file>