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3 PPC\RIZKY\RIZKY\2025\REPORT\KPI\"/>
    </mc:Choice>
  </mc:AlternateContent>
  <xr:revisionPtr revIDLastSave="0" documentId="13_ncr:1_{C94BBB3C-5B1F-46C6-8722-215051F12D1D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JAN" sheetId="1" r:id="rId1"/>
    <sheet name="FEB" sheetId="16" r:id="rId2"/>
    <sheet name="MAR" sheetId="17" r:id="rId3"/>
    <sheet name="APR" sheetId="18" r:id="rId4"/>
    <sheet name="MEI" sheetId="20" r:id="rId5"/>
    <sheet name="SUMMARY" sheetId="4" r:id="rId6"/>
    <sheet name="RESUME EQV" sheetId="15" r:id="rId7"/>
    <sheet name="HASIL EQV" sheetId="8" r:id="rId8"/>
    <sheet name="EQV" sheetId="7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4" l="1"/>
  <c r="I26" i="20"/>
  <c r="H25" i="20"/>
  <c r="G25" i="20"/>
  <c r="K24" i="20"/>
  <c r="M24" i="20" s="1"/>
  <c r="J23" i="20"/>
  <c r="J26" i="20" s="1"/>
  <c r="I23" i="20"/>
  <c r="H23" i="20"/>
  <c r="H26" i="20" s="1"/>
  <c r="G23" i="20"/>
  <c r="G26" i="20" s="1"/>
  <c r="M22" i="20"/>
  <c r="J22" i="20"/>
  <c r="J25" i="20" s="1"/>
  <c r="I22" i="20"/>
  <c r="I25" i="20" s="1"/>
  <c r="H22" i="20"/>
  <c r="G22" i="20"/>
  <c r="E22" i="20"/>
  <c r="E25" i="20" s="1"/>
  <c r="D22" i="20"/>
  <c r="K21" i="20"/>
  <c r="L21" i="20" s="1"/>
  <c r="G21" i="20"/>
  <c r="F21" i="20"/>
  <c r="K20" i="20"/>
  <c r="L20" i="20" s="1"/>
  <c r="F20" i="20"/>
  <c r="K19" i="20"/>
  <c r="L19" i="20" s="1"/>
  <c r="F19" i="20"/>
  <c r="K18" i="20"/>
  <c r="L18" i="20" s="1"/>
  <c r="F18" i="20"/>
  <c r="K17" i="20"/>
  <c r="L17" i="20" s="1"/>
  <c r="F17" i="20"/>
  <c r="K16" i="20"/>
  <c r="L16" i="20" s="1"/>
  <c r="F16" i="20"/>
  <c r="K15" i="20"/>
  <c r="L15" i="20" s="1"/>
  <c r="F15" i="20"/>
  <c r="K14" i="20"/>
  <c r="L14" i="20" s="1"/>
  <c r="F14" i="20"/>
  <c r="K13" i="20"/>
  <c r="L13" i="20" s="1"/>
  <c r="F13" i="20"/>
  <c r="K12" i="20"/>
  <c r="L12" i="20" s="1"/>
  <c r="F12" i="20"/>
  <c r="K11" i="20"/>
  <c r="L11" i="20" s="1"/>
  <c r="F11" i="20"/>
  <c r="K10" i="20"/>
  <c r="L10" i="20" s="1"/>
  <c r="F10" i="20"/>
  <c r="K9" i="20"/>
  <c r="L9" i="20" s="1"/>
  <c r="F9" i="20"/>
  <c r="K8" i="20"/>
  <c r="L8" i="20" s="1"/>
  <c r="F8" i="20"/>
  <c r="K7" i="20"/>
  <c r="L7" i="20" s="1"/>
  <c r="F7" i="20"/>
  <c r="K6" i="20"/>
  <c r="L6" i="20" s="1"/>
  <c r="F6" i="20"/>
  <c r="K5" i="20"/>
  <c r="L5" i="20" s="1"/>
  <c r="F5" i="20"/>
  <c r="B5" i="20"/>
  <c r="B6" i="20" s="1"/>
  <c r="B7" i="20" s="1"/>
  <c r="B8" i="20" s="1"/>
  <c r="B9" i="20" s="1"/>
  <c r="B10" i="20" s="1"/>
  <c r="B11" i="20" s="1"/>
  <c r="B12" i="20" s="1"/>
  <c r="B13" i="20" s="1"/>
  <c r="B14" i="20" s="1"/>
  <c r="B15" i="20" s="1"/>
  <c r="B16" i="20" s="1"/>
  <c r="B17" i="20" s="1"/>
  <c r="B18" i="20" s="1"/>
  <c r="B19" i="20" s="1"/>
  <c r="K4" i="20"/>
  <c r="K23" i="20" s="1"/>
  <c r="F4" i="20"/>
  <c r="F22" i="20" s="1"/>
  <c r="F25" i="20" s="1"/>
  <c r="K26" i="20" l="1"/>
  <c r="L23" i="20"/>
  <c r="M25" i="20"/>
  <c r="L4" i="20"/>
  <c r="M21" i="20"/>
  <c r="M23" i="20" s="1"/>
  <c r="M26" i="20" s="1"/>
  <c r="K22" i="20"/>
  <c r="L22" i="20" l="1"/>
  <c r="K25" i="20"/>
  <c r="J26" i="18" l="1"/>
  <c r="I26" i="18"/>
  <c r="G26" i="18"/>
  <c r="K24" i="18"/>
  <c r="M24" i="18" s="1"/>
  <c r="M25" i="18" s="1"/>
  <c r="M23" i="18"/>
  <c r="J23" i="18"/>
  <c r="I23" i="18"/>
  <c r="G23" i="18"/>
  <c r="M22" i="18"/>
  <c r="J22" i="18"/>
  <c r="J25" i="18" s="1"/>
  <c r="I22" i="18"/>
  <c r="I25" i="18" s="1"/>
  <c r="G22" i="18"/>
  <c r="G25" i="18" s="1"/>
  <c r="E22" i="18"/>
  <c r="D22" i="18"/>
  <c r="L21" i="18"/>
  <c r="K21" i="18"/>
  <c r="F21" i="18"/>
  <c r="K20" i="18"/>
  <c r="L20" i="18" s="1"/>
  <c r="F20" i="18"/>
  <c r="K19" i="18"/>
  <c r="L19" i="18" s="1"/>
  <c r="F19" i="18"/>
  <c r="K18" i="18"/>
  <c r="L18" i="18" s="1"/>
  <c r="F18" i="18"/>
  <c r="K17" i="18"/>
  <c r="L17" i="18" s="1"/>
  <c r="F17" i="18"/>
  <c r="K16" i="18"/>
  <c r="L16" i="18" s="1"/>
  <c r="F16" i="18"/>
  <c r="K15" i="18"/>
  <c r="L15" i="18" s="1"/>
  <c r="F15" i="18"/>
  <c r="H14" i="18"/>
  <c r="H22" i="18" s="1"/>
  <c r="H25" i="18" s="1"/>
  <c r="F14" i="18"/>
  <c r="K13" i="18"/>
  <c r="L13" i="18" s="1"/>
  <c r="F13" i="18"/>
  <c r="K12" i="18"/>
  <c r="L12" i="18" s="1"/>
  <c r="F12" i="18"/>
  <c r="K11" i="18"/>
  <c r="L11" i="18" s="1"/>
  <c r="F11" i="18"/>
  <c r="K10" i="18"/>
  <c r="L10" i="18" s="1"/>
  <c r="F10" i="18"/>
  <c r="K9" i="18"/>
  <c r="L9" i="18" s="1"/>
  <c r="H9" i="18"/>
  <c r="F9" i="18"/>
  <c r="L8" i="18"/>
  <c r="K8" i="18"/>
  <c r="F8" i="18"/>
  <c r="L7" i="18"/>
  <c r="K7" i="18"/>
  <c r="F7" i="18"/>
  <c r="L6" i="18"/>
  <c r="K6" i="18"/>
  <c r="F6" i="18"/>
  <c r="H5" i="18"/>
  <c r="K5" i="18" s="1"/>
  <c r="F5" i="18"/>
  <c r="B5" i="18"/>
  <c r="B6" i="18" s="1"/>
  <c r="B7" i="18" s="1"/>
  <c r="B8" i="18" s="1"/>
  <c r="B9" i="18" s="1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K4" i="18"/>
  <c r="F4" i="18"/>
  <c r="F22" i="18" s="1"/>
  <c r="L5" i="18" l="1"/>
  <c r="K23" i="18"/>
  <c r="M26" i="18"/>
  <c r="H23" i="18"/>
  <c r="H26" i="18" s="1"/>
  <c r="K14" i="18"/>
  <c r="L14" i="18" s="1"/>
  <c r="L4" i="18"/>
  <c r="O4" i="18"/>
  <c r="L23" i="15"/>
  <c r="M23" i="15"/>
  <c r="M26" i="4"/>
  <c r="G26" i="4"/>
  <c r="I26" i="17"/>
  <c r="H25" i="17"/>
  <c r="G25" i="17"/>
  <c r="K24" i="17"/>
  <c r="M24" i="17" s="1"/>
  <c r="M23" i="17"/>
  <c r="J23" i="17"/>
  <c r="J26" i="17" s="1"/>
  <c r="I23" i="17"/>
  <c r="H23" i="17"/>
  <c r="H26" i="17" s="1"/>
  <c r="G23" i="17"/>
  <c r="G26" i="17" s="1"/>
  <c r="M22" i="17"/>
  <c r="J22" i="17"/>
  <c r="J25" i="17" s="1"/>
  <c r="I22" i="17"/>
  <c r="I25" i="17" s="1"/>
  <c r="H22" i="17"/>
  <c r="G22" i="17"/>
  <c r="E22" i="17"/>
  <c r="E24" i="17" s="1"/>
  <c r="K21" i="17"/>
  <c r="L21" i="17" s="1"/>
  <c r="F21" i="17"/>
  <c r="K20" i="17"/>
  <c r="L20" i="17" s="1"/>
  <c r="F20" i="17"/>
  <c r="L19" i="17"/>
  <c r="K19" i="17"/>
  <c r="F19" i="17"/>
  <c r="L18" i="17"/>
  <c r="K18" i="17"/>
  <c r="F18" i="17"/>
  <c r="L17" i="17"/>
  <c r="K17" i="17"/>
  <c r="F17" i="17"/>
  <c r="K16" i="17"/>
  <c r="L16" i="17" s="1"/>
  <c r="F16" i="17"/>
  <c r="D16" i="17"/>
  <c r="D22" i="17" s="1"/>
  <c r="K15" i="17"/>
  <c r="L15" i="17" s="1"/>
  <c r="F15" i="17"/>
  <c r="K14" i="17"/>
  <c r="L14" i="17" s="1"/>
  <c r="F14" i="17"/>
  <c r="K13" i="17"/>
  <c r="L13" i="17" s="1"/>
  <c r="F13" i="17"/>
  <c r="K12" i="17"/>
  <c r="L12" i="17" s="1"/>
  <c r="F12" i="17"/>
  <c r="K11" i="17"/>
  <c r="L11" i="17" s="1"/>
  <c r="F11" i="17"/>
  <c r="K10" i="17"/>
  <c r="L10" i="17" s="1"/>
  <c r="F10" i="17"/>
  <c r="L9" i="17"/>
  <c r="K9" i="17"/>
  <c r="F9" i="17"/>
  <c r="R8" i="17"/>
  <c r="R9" i="17" s="1"/>
  <c r="L8" i="17"/>
  <c r="K8" i="17"/>
  <c r="F8" i="17"/>
  <c r="Q7" i="17"/>
  <c r="K7" i="17"/>
  <c r="L7" i="17" s="1"/>
  <c r="F7" i="17"/>
  <c r="K6" i="17"/>
  <c r="L6" i="17" s="1"/>
  <c r="F6" i="17"/>
  <c r="K5" i="17"/>
  <c r="L5" i="17" s="1"/>
  <c r="F5" i="17"/>
  <c r="B5" i="17"/>
  <c r="B6" i="17" s="1"/>
  <c r="B7" i="17" s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K4" i="17"/>
  <c r="K23" i="17" s="1"/>
  <c r="F4" i="17"/>
  <c r="AN26" i="15"/>
  <c r="AM26" i="15"/>
  <c r="AK26" i="15"/>
  <c r="AJ26" i="15"/>
  <c r="AH26" i="15"/>
  <c r="AG26" i="15"/>
  <c r="AE26" i="15"/>
  <c r="AD26" i="15"/>
  <c r="AB26" i="15"/>
  <c r="AA26" i="15"/>
  <c r="Y26" i="15"/>
  <c r="X26" i="15"/>
  <c r="V26" i="15"/>
  <c r="U26" i="15"/>
  <c r="L26" i="15"/>
  <c r="J26" i="15"/>
  <c r="I26" i="15"/>
  <c r="G26" i="15"/>
  <c r="I17" i="4"/>
  <c r="I10" i="4"/>
  <c r="I9" i="4"/>
  <c r="G25" i="16"/>
  <c r="K24" i="16"/>
  <c r="M24" i="16" s="1"/>
  <c r="J23" i="16"/>
  <c r="J26" i="16" s="1"/>
  <c r="H23" i="16"/>
  <c r="H26" i="16" s="1"/>
  <c r="J22" i="16"/>
  <c r="J25" i="16" s="1"/>
  <c r="H22" i="16"/>
  <c r="H25" i="16" s="1"/>
  <c r="G22" i="16"/>
  <c r="E22" i="16"/>
  <c r="E25" i="16" s="1"/>
  <c r="D22" i="16"/>
  <c r="K21" i="16"/>
  <c r="M21" i="16" s="1"/>
  <c r="G21" i="16"/>
  <c r="G23" i="16" s="1"/>
  <c r="G26" i="16" s="1"/>
  <c r="F21" i="16"/>
  <c r="L20" i="16"/>
  <c r="F20" i="16"/>
  <c r="L19" i="16"/>
  <c r="K19" i="16"/>
  <c r="F19" i="16"/>
  <c r="L18" i="16"/>
  <c r="K18" i="16"/>
  <c r="F18" i="16"/>
  <c r="L17" i="16"/>
  <c r="F17" i="16"/>
  <c r="L16" i="16"/>
  <c r="K16" i="16"/>
  <c r="F16" i="16"/>
  <c r="E16" i="16"/>
  <c r="L15" i="16"/>
  <c r="K15" i="16"/>
  <c r="F15" i="16"/>
  <c r="K14" i="16"/>
  <c r="L14" i="16" s="1"/>
  <c r="F14" i="16"/>
  <c r="I13" i="16"/>
  <c r="I23" i="16" s="1"/>
  <c r="I26" i="16" s="1"/>
  <c r="F13" i="16"/>
  <c r="K12" i="16"/>
  <c r="L12" i="16" s="1"/>
  <c r="F12" i="16"/>
  <c r="K11" i="16"/>
  <c r="L11" i="16" s="1"/>
  <c r="F11" i="16"/>
  <c r="L10" i="16"/>
  <c r="F10" i="16"/>
  <c r="L9" i="16"/>
  <c r="K9" i="16"/>
  <c r="F9" i="16"/>
  <c r="E9" i="16"/>
  <c r="L8" i="16"/>
  <c r="K8" i="16"/>
  <c r="F8" i="16"/>
  <c r="E8" i="16"/>
  <c r="L7" i="16"/>
  <c r="F7" i="16"/>
  <c r="L6" i="16"/>
  <c r="F6" i="16"/>
  <c r="B6" i="16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L5" i="16"/>
  <c r="K5" i="16"/>
  <c r="F5" i="16"/>
  <c r="B5" i="16"/>
  <c r="L4" i="16"/>
  <c r="K4" i="16"/>
  <c r="F4" i="16"/>
  <c r="F22" i="16" s="1"/>
  <c r="F25" i="16" s="1"/>
  <c r="F14" i="1"/>
  <c r="F13" i="1"/>
  <c r="F10" i="1"/>
  <c r="F9" i="1"/>
  <c r="F8" i="1"/>
  <c r="F6" i="1"/>
  <c r="F5" i="1"/>
  <c r="K26" i="18" l="1"/>
  <c r="L23" i="18"/>
  <c r="K22" i="18"/>
  <c r="M25" i="17"/>
  <c r="K26" i="17"/>
  <c r="L23" i="17"/>
  <c r="F22" i="17"/>
  <c r="F24" i="17" s="1"/>
  <c r="M26" i="17"/>
  <c r="L4" i="17"/>
  <c r="K22" i="17"/>
  <c r="I22" i="16"/>
  <c r="I25" i="16" s="1"/>
  <c r="K13" i="16"/>
  <c r="L21" i="16"/>
  <c r="K23" i="16"/>
  <c r="I26" i="1"/>
  <c r="G25" i="1"/>
  <c r="K24" i="1"/>
  <c r="M24" i="1" s="1"/>
  <c r="J23" i="1"/>
  <c r="J26" i="1" s="1"/>
  <c r="I23" i="1"/>
  <c r="H23" i="1"/>
  <c r="H26" i="1" s="1"/>
  <c r="G23" i="1"/>
  <c r="G26" i="1" s="1"/>
  <c r="M22" i="1"/>
  <c r="M25" i="1" s="1"/>
  <c r="J22" i="1"/>
  <c r="J25" i="1" s="1"/>
  <c r="I22" i="1"/>
  <c r="I25" i="1" s="1"/>
  <c r="H22" i="1"/>
  <c r="H25" i="1" s="1"/>
  <c r="G22" i="1"/>
  <c r="F22" i="1"/>
  <c r="F25" i="1" s="1"/>
  <c r="E22" i="1"/>
  <c r="E25" i="1" s="1"/>
  <c r="D22" i="1"/>
  <c r="K21" i="1"/>
  <c r="M21" i="1" s="1"/>
  <c r="M23" i="1" s="1"/>
  <c r="M26" i="1" s="1"/>
  <c r="K20" i="1"/>
  <c r="L20" i="1" s="1"/>
  <c r="K19" i="1"/>
  <c r="L19" i="1" s="1"/>
  <c r="L18" i="1"/>
  <c r="K18" i="1"/>
  <c r="K17" i="1"/>
  <c r="L17" i="1" s="1"/>
  <c r="L16" i="1"/>
  <c r="K16" i="1"/>
  <c r="L15" i="1"/>
  <c r="K15" i="1"/>
  <c r="K14" i="1"/>
  <c r="L14" i="1" s="1"/>
  <c r="K13" i="1"/>
  <c r="L12" i="1"/>
  <c r="K12" i="1"/>
  <c r="K11" i="1"/>
  <c r="L11" i="1" s="1"/>
  <c r="L10" i="1"/>
  <c r="K10" i="1"/>
  <c r="L9" i="1"/>
  <c r="K9" i="1"/>
  <c r="K8" i="1"/>
  <c r="L8" i="1" s="1"/>
  <c r="K7" i="1"/>
  <c r="L7" i="1" s="1"/>
  <c r="L6" i="1"/>
  <c r="K6" i="1"/>
  <c r="K5" i="1"/>
  <c r="L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L4" i="1"/>
  <c r="K4" i="1"/>
  <c r="K22" i="1" s="1"/>
  <c r="L22" i="18" l="1"/>
  <c r="K25" i="18"/>
  <c r="L22" i="17"/>
  <c r="K25" i="17"/>
  <c r="K26" i="16"/>
  <c r="L23" i="16"/>
  <c r="L13" i="16"/>
  <c r="K22" i="16"/>
  <c r="L22" i="1"/>
  <c r="K25" i="1"/>
  <c r="L13" i="1"/>
  <c r="L21" i="1"/>
  <c r="K23" i="1"/>
  <c r="M23" i="16" l="1"/>
  <c r="M26" i="16" s="1"/>
  <c r="M22" i="16"/>
  <c r="M25" i="16" s="1"/>
  <c r="L22" i="16"/>
  <c r="K25" i="16"/>
  <c r="K26" i="1"/>
  <c r="L23" i="1"/>
  <c r="U24" i="15"/>
  <c r="U23" i="15"/>
  <c r="AQ25" i="15" l="1"/>
  <c r="AP25" i="15"/>
  <c r="AQ25" i="4" l="1"/>
  <c r="AP25" i="4"/>
  <c r="AQ22" i="4"/>
  <c r="AQ21" i="4"/>
  <c r="AQ20" i="4"/>
  <c r="AQ19" i="4"/>
  <c r="AQ18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5" i="4"/>
  <c r="AP22" i="4"/>
  <c r="AP21" i="4"/>
  <c r="AP20" i="4"/>
  <c r="AP19" i="4"/>
  <c r="AP18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5" i="4"/>
  <c r="P24" i="8"/>
  <c r="N26" i="8"/>
  <c r="O23" i="8"/>
  <c r="O26" i="8" s="1"/>
  <c r="N23" i="8"/>
  <c r="O22" i="8"/>
  <c r="O25" i="8" s="1"/>
  <c r="N22" i="8"/>
  <c r="N25" i="8" s="1"/>
  <c r="AP22" i="15"/>
  <c r="AQ21" i="15"/>
  <c r="AP21" i="15"/>
  <c r="AQ20" i="15"/>
  <c r="AP20" i="15"/>
  <c r="AQ19" i="15"/>
  <c r="AP19" i="15"/>
  <c r="AQ18" i="15"/>
  <c r="AP18" i="15"/>
  <c r="AQ17" i="15"/>
  <c r="AP17" i="15"/>
  <c r="AQ16" i="15"/>
  <c r="AP16" i="15"/>
  <c r="AQ15" i="15"/>
  <c r="AP15" i="15"/>
  <c r="AQ14" i="15"/>
  <c r="AP14" i="15"/>
  <c r="AQ13" i="15"/>
  <c r="AP13" i="15"/>
  <c r="AQ12" i="15"/>
  <c r="AP12" i="15"/>
  <c r="AQ11" i="15"/>
  <c r="AP11" i="15"/>
  <c r="AQ10" i="15"/>
  <c r="AP10" i="15"/>
  <c r="AQ9" i="15"/>
  <c r="AP9" i="15"/>
  <c r="AQ8" i="15"/>
  <c r="AP8" i="15"/>
  <c r="AQ7" i="15"/>
  <c r="AP7" i="15"/>
  <c r="AQ6" i="15"/>
  <c r="AP6" i="15"/>
  <c r="AQ5" i="15"/>
  <c r="AP5" i="15"/>
  <c r="AN24" i="15"/>
  <c r="AM24" i="15"/>
  <c r="AN23" i="15"/>
  <c r="AM23" i="15"/>
  <c r="AO22" i="15"/>
  <c r="AO21" i="15"/>
  <c r="AO20" i="15"/>
  <c r="AO19" i="15"/>
  <c r="AO18" i="15"/>
  <c r="AO17" i="15"/>
  <c r="AO16" i="15"/>
  <c r="AO15" i="15"/>
  <c r="AO14" i="15"/>
  <c r="AO13" i="15"/>
  <c r="AO12" i="15"/>
  <c r="AO11" i="15"/>
  <c r="AO10" i="15"/>
  <c r="AO9" i="15"/>
  <c r="AO8" i="15"/>
  <c r="AO7" i="15"/>
  <c r="AO6" i="15"/>
  <c r="AO5" i="15"/>
  <c r="AN24" i="4"/>
  <c r="AN26" i="4" s="1"/>
  <c r="AM24" i="4"/>
  <c r="AM26" i="4" s="1"/>
  <c r="AN23" i="4"/>
  <c r="AM23" i="4"/>
  <c r="AO22" i="4"/>
  <c r="AO21" i="4"/>
  <c r="AO20" i="4"/>
  <c r="AO19" i="4"/>
  <c r="AO18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5" i="4"/>
  <c r="AL22" i="15"/>
  <c r="AL21" i="15"/>
  <c r="AL20" i="15"/>
  <c r="AL19" i="15"/>
  <c r="AL18" i="15"/>
  <c r="AL17" i="15"/>
  <c r="AL16" i="15"/>
  <c r="AL15" i="15"/>
  <c r="AL14" i="15"/>
  <c r="AL13" i="15"/>
  <c r="AL12" i="15"/>
  <c r="AL11" i="15"/>
  <c r="AL10" i="15"/>
  <c r="AL9" i="15"/>
  <c r="AL8" i="15"/>
  <c r="AL7" i="15"/>
  <c r="AL6" i="15"/>
  <c r="AL5" i="15"/>
  <c r="AK24" i="15"/>
  <c r="AJ24" i="15"/>
  <c r="AK23" i="15"/>
  <c r="AL23" i="15" s="1"/>
  <c r="AJ23" i="15"/>
  <c r="AL22" i="4"/>
  <c r="AL21" i="4"/>
  <c r="AL20" i="4"/>
  <c r="AL19" i="4"/>
  <c r="AL18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5" i="4"/>
  <c r="AK24" i="4"/>
  <c r="AJ24" i="4"/>
  <c r="AJ26" i="4" s="1"/>
  <c r="AK23" i="4"/>
  <c r="AJ23" i="4"/>
  <c r="U53" i="15"/>
  <c r="V51" i="15"/>
  <c r="U51" i="15"/>
  <c r="S51" i="15"/>
  <c r="T51" i="15" s="1"/>
  <c r="R51" i="15"/>
  <c r="P51" i="15"/>
  <c r="O51" i="15"/>
  <c r="Q51" i="15" s="1"/>
  <c r="M51" i="15"/>
  <c r="N51" i="15" s="1"/>
  <c r="L51" i="15"/>
  <c r="I51" i="15"/>
  <c r="F51" i="15"/>
  <c r="V50" i="15"/>
  <c r="V53" i="15" s="1"/>
  <c r="S50" i="15"/>
  <c r="S53" i="15" s="1"/>
  <c r="R50" i="15"/>
  <c r="R53" i="15" s="1"/>
  <c r="P50" i="15"/>
  <c r="P53" i="15" s="1"/>
  <c r="O50" i="15"/>
  <c r="O53" i="15" s="1"/>
  <c r="M50" i="15"/>
  <c r="L50" i="15"/>
  <c r="L53" i="15" s="1"/>
  <c r="I50" i="15"/>
  <c r="I53" i="15" s="1"/>
  <c r="F50" i="15"/>
  <c r="F53" i="15" s="1"/>
  <c r="E50" i="15"/>
  <c r="D50" i="15"/>
  <c r="AR49" i="15"/>
  <c r="AQ49" i="15"/>
  <c r="AP49" i="15"/>
  <c r="W49" i="15"/>
  <c r="T49" i="15"/>
  <c r="Q49" i="15"/>
  <c r="N49" i="15"/>
  <c r="K49" i="15"/>
  <c r="H49" i="15"/>
  <c r="B49" i="15"/>
  <c r="AQ48" i="15"/>
  <c r="AP48" i="15"/>
  <c r="AR48" i="15" s="1"/>
  <c r="W48" i="15"/>
  <c r="T48" i="15"/>
  <c r="Q48" i="15"/>
  <c r="N48" i="15"/>
  <c r="K48" i="15"/>
  <c r="H48" i="15"/>
  <c r="AQ47" i="15"/>
  <c r="AP47" i="15"/>
  <c r="W47" i="15"/>
  <c r="T47" i="15"/>
  <c r="Q47" i="15"/>
  <c r="N47" i="15"/>
  <c r="K47" i="15"/>
  <c r="H47" i="15"/>
  <c r="AQ46" i="15"/>
  <c r="AP46" i="15"/>
  <c r="W46" i="15"/>
  <c r="T46" i="15"/>
  <c r="Q46" i="15"/>
  <c r="N46" i="15"/>
  <c r="K46" i="15"/>
  <c r="H46" i="15"/>
  <c r="AP45" i="15"/>
  <c r="W45" i="15"/>
  <c r="T45" i="15"/>
  <c r="Q45" i="15"/>
  <c r="N45" i="15"/>
  <c r="J45" i="15"/>
  <c r="AQ45" i="15" s="1"/>
  <c r="AR45" i="15" s="1"/>
  <c r="H45" i="15"/>
  <c r="AQ44" i="15"/>
  <c r="AP44" i="15"/>
  <c r="AR44" i="15" s="1"/>
  <c r="W44" i="15"/>
  <c r="T44" i="15"/>
  <c r="Q44" i="15"/>
  <c r="N44" i="15"/>
  <c r="K44" i="15"/>
  <c r="H44" i="15"/>
  <c r="AQ43" i="15"/>
  <c r="AP43" i="15"/>
  <c r="W43" i="15"/>
  <c r="T43" i="15"/>
  <c r="Q43" i="15"/>
  <c r="N43" i="15"/>
  <c r="K43" i="15"/>
  <c r="H43" i="15"/>
  <c r="AP42" i="15"/>
  <c r="W42" i="15"/>
  <c r="T42" i="15"/>
  <c r="Q42" i="15"/>
  <c r="N42" i="15"/>
  <c r="J42" i="15"/>
  <c r="K42" i="15" s="1"/>
  <c r="G42" i="15"/>
  <c r="AP41" i="15"/>
  <c r="W41" i="15"/>
  <c r="T41" i="15"/>
  <c r="Q41" i="15"/>
  <c r="N41" i="15"/>
  <c r="J41" i="15"/>
  <c r="K41" i="15" s="1"/>
  <c r="G41" i="15"/>
  <c r="AQ40" i="15"/>
  <c r="AP40" i="15"/>
  <c r="W40" i="15"/>
  <c r="T40" i="15"/>
  <c r="Q40" i="15"/>
  <c r="N40" i="15"/>
  <c r="K40" i="15"/>
  <c r="H40" i="15"/>
  <c r="AQ39" i="15"/>
  <c r="AR39" i="15" s="1"/>
  <c r="AP39" i="15"/>
  <c r="W39" i="15"/>
  <c r="T39" i="15"/>
  <c r="Q39" i="15"/>
  <c r="N39" i="15"/>
  <c r="K39" i="15"/>
  <c r="H39" i="15"/>
  <c r="AP38" i="15"/>
  <c r="W38" i="15"/>
  <c r="T38" i="15"/>
  <c r="Q38" i="15"/>
  <c r="N38" i="15"/>
  <c r="J38" i="15"/>
  <c r="K38" i="15" s="1"/>
  <c r="G38" i="15"/>
  <c r="AP37" i="15"/>
  <c r="W37" i="15"/>
  <c r="T37" i="15"/>
  <c r="Q37" i="15"/>
  <c r="N37" i="15"/>
  <c r="K37" i="15"/>
  <c r="G37" i="15"/>
  <c r="AQ37" i="15" s="1"/>
  <c r="AP36" i="15"/>
  <c r="W36" i="15"/>
  <c r="T36" i="15"/>
  <c r="Q36" i="15"/>
  <c r="N36" i="15"/>
  <c r="J36" i="15"/>
  <c r="J51" i="15" s="1"/>
  <c r="K51" i="15" s="1"/>
  <c r="G36" i="15"/>
  <c r="H36" i="15" s="1"/>
  <c r="AP35" i="15"/>
  <c r="W35" i="15"/>
  <c r="T35" i="15"/>
  <c r="Q35" i="15"/>
  <c r="N35" i="15"/>
  <c r="K35" i="15"/>
  <c r="G35" i="15"/>
  <c r="H35" i="15" s="1"/>
  <c r="AP34" i="15"/>
  <c r="W34" i="15"/>
  <c r="T34" i="15"/>
  <c r="Q34" i="15"/>
  <c r="N34" i="15"/>
  <c r="K34" i="15"/>
  <c r="H34" i="15"/>
  <c r="G34" i="15"/>
  <c r="AQ34" i="15" s="1"/>
  <c r="AP33" i="15"/>
  <c r="W33" i="15"/>
  <c r="T33" i="15"/>
  <c r="Q33" i="15"/>
  <c r="N33" i="15"/>
  <c r="K33" i="15"/>
  <c r="G33" i="15"/>
  <c r="AQ33" i="15" s="1"/>
  <c r="AR33" i="15" s="1"/>
  <c r="B33" i="15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AQ32" i="15"/>
  <c r="AP32" i="15"/>
  <c r="AR32" i="15" s="1"/>
  <c r="W32" i="15"/>
  <c r="T32" i="15"/>
  <c r="Q32" i="15"/>
  <c r="N32" i="15"/>
  <c r="K32" i="15"/>
  <c r="H32" i="15"/>
  <c r="AH24" i="15"/>
  <c r="AG24" i="15"/>
  <c r="AE24" i="15"/>
  <c r="AD24" i="15"/>
  <c r="AB24" i="15"/>
  <c r="AA24" i="15"/>
  <c r="Y24" i="15"/>
  <c r="X24" i="15"/>
  <c r="V24" i="15"/>
  <c r="W24" i="15" s="1"/>
  <c r="S24" i="15"/>
  <c r="S26" i="15" s="1"/>
  <c r="R24" i="15"/>
  <c r="P24" i="15"/>
  <c r="P26" i="15" s="1"/>
  <c r="O24" i="15"/>
  <c r="M24" i="15"/>
  <c r="M26" i="15" s="1"/>
  <c r="L24" i="15"/>
  <c r="I24" i="15"/>
  <c r="G24" i="15"/>
  <c r="F24" i="15"/>
  <c r="AH23" i="15"/>
  <c r="AG23" i="15"/>
  <c r="AE23" i="15"/>
  <c r="AD23" i="15"/>
  <c r="AB23" i="15"/>
  <c r="AA23" i="15"/>
  <c r="Y23" i="15"/>
  <c r="X23" i="15"/>
  <c r="V23" i="15"/>
  <c r="S23" i="15"/>
  <c r="R23" i="15"/>
  <c r="R26" i="15" s="1"/>
  <c r="P23" i="15"/>
  <c r="O23" i="15"/>
  <c r="O26" i="15" s="1"/>
  <c r="J23" i="15"/>
  <c r="I23" i="15"/>
  <c r="G23" i="15"/>
  <c r="F23" i="15"/>
  <c r="E23" i="15"/>
  <c r="D23" i="15"/>
  <c r="AI22" i="15"/>
  <c r="AF22" i="15"/>
  <c r="AC22" i="15"/>
  <c r="Z22" i="15"/>
  <c r="W22" i="15"/>
  <c r="T22" i="15"/>
  <c r="Q22" i="15"/>
  <c r="N22" i="15"/>
  <c r="H22" i="15"/>
  <c r="AI21" i="15"/>
  <c r="AF21" i="15"/>
  <c r="AC21" i="15"/>
  <c r="Z21" i="15"/>
  <c r="W21" i="15"/>
  <c r="T21" i="15"/>
  <c r="Q21" i="15"/>
  <c r="N21" i="15"/>
  <c r="K21" i="15"/>
  <c r="H21" i="15"/>
  <c r="AI20" i="15"/>
  <c r="AF20" i="15"/>
  <c r="AC20" i="15"/>
  <c r="Z20" i="15"/>
  <c r="W20" i="15"/>
  <c r="T20" i="15"/>
  <c r="Q20" i="15"/>
  <c r="N20" i="15"/>
  <c r="K20" i="15"/>
  <c r="H20" i="15"/>
  <c r="AI19" i="15"/>
  <c r="AF19" i="15"/>
  <c r="AC19" i="15"/>
  <c r="Z19" i="15"/>
  <c r="W19" i="15"/>
  <c r="T19" i="15"/>
  <c r="Q19" i="15"/>
  <c r="N19" i="15"/>
  <c r="K19" i="15"/>
  <c r="H19" i="15"/>
  <c r="AI18" i="15"/>
  <c r="AF18" i="15"/>
  <c r="AC18" i="15"/>
  <c r="Z18" i="15"/>
  <c r="W18" i="15"/>
  <c r="T18" i="15"/>
  <c r="Q18" i="15"/>
  <c r="N18" i="15"/>
  <c r="K18" i="15"/>
  <c r="H18" i="15"/>
  <c r="AI17" i="15"/>
  <c r="AF17" i="15"/>
  <c r="AC17" i="15"/>
  <c r="Z17" i="15"/>
  <c r="W17" i="15"/>
  <c r="T17" i="15"/>
  <c r="Q17" i="15"/>
  <c r="N17" i="15"/>
  <c r="K17" i="15"/>
  <c r="H17" i="15"/>
  <c r="AI16" i="15"/>
  <c r="AF16" i="15"/>
  <c r="AC16" i="15"/>
  <c r="Z16" i="15"/>
  <c r="W16" i="15"/>
  <c r="T16" i="15"/>
  <c r="Q16" i="15"/>
  <c r="N16" i="15"/>
  <c r="K16" i="15"/>
  <c r="H16" i="15"/>
  <c r="AI15" i="15"/>
  <c r="AF15" i="15"/>
  <c r="AC15" i="15"/>
  <c r="Z15" i="15"/>
  <c r="W15" i="15"/>
  <c r="T15" i="15"/>
  <c r="Q15" i="15"/>
  <c r="N15" i="15"/>
  <c r="K15" i="15"/>
  <c r="H15" i="15"/>
  <c r="AI14" i="15"/>
  <c r="AF14" i="15"/>
  <c r="AC14" i="15"/>
  <c r="Z14" i="15"/>
  <c r="W14" i="15"/>
  <c r="T14" i="15"/>
  <c r="Q14" i="15"/>
  <c r="N14" i="15"/>
  <c r="K14" i="15"/>
  <c r="H14" i="15"/>
  <c r="AI13" i="15"/>
  <c r="AF13" i="15"/>
  <c r="AC13" i="15"/>
  <c r="Z13" i="15"/>
  <c r="W13" i="15"/>
  <c r="T13" i="15"/>
  <c r="Q13" i="15"/>
  <c r="N13" i="15"/>
  <c r="K13" i="15"/>
  <c r="H13" i="15"/>
  <c r="AI12" i="15"/>
  <c r="AF12" i="15"/>
  <c r="AC12" i="15"/>
  <c r="Z12" i="15"/>
  <c r="W12" i="15"/>
  <c r="T12" i="15"/>
  <c r="Q12" i="15"/>
  <c r="N12" i="15"/>
  <c r="K12" i="15"/>
  <c r="H12" i="15"/>
  <c r="AI11" i="15"/>
  <c r="AF11" i="15"/>
  <c r="AC11" i="15"/>
  <c r="Z11" i="15"/>
  <c r="W11" i="15"/>
  <c r="T11" i="15"/>
  <c r="Q11" i="15"/>
  <c r="N11" i="15"/>
  <c r="K11" i="15"/>
  <c r="H11" i="15"/>
  <c r="AI10" i="15"/>
  <c r="AF10" i="15"/>
  <c r="AC10" i="15"/>
  <c r="Z10" i="15"/>
  <c r="W10" i="15"/>
  <c r="T10" i="15"/>
  <c r="Q10" i="15"/>
  <c r="N10" i="15"/>
  <c r="K10" i="15"/>
  <c r="H10" i="15"/>
  <c r="AI9" i="15"/>
  <c r="AF9" i="15"/>
  <c r="AC9" i="15"/>
  <c r="Z9" i="15"/>
  <c r="W9" i="15"/>
  <c r="T9" i="15"/>
  <c r="Q9" i="15"/>
  <c r="N9" i="15"/>
  <c r="K9" i="15"/>
  <c r="H9" i="15"/>
  <c r="AI8" i="15"/>
  <c r="AF8" i="15"/>
  <c r="AC8" i="15"/>
  <c r="Z8" i="15"/>
  <c r="W8" i="15"/>
  <c r="T8" i="15"/>
  <c r="Q8" i="15"/>
  <c r="N8" i="15"/>
  <c r="K8" i="15"/>
  <c r="H8" i="15"/>
  <c r="AI7" i="15"/>
  <c r="AF7" i="15"/>
  <c r="AC7" i="15"/>
  <c r="Z7" i="15"/>
  <c r="W7" i="15"/>
  <c r="T7" i="15"/>
  <c r="Q7" i="15"/>
  <c r="N7" i="15"/>
  <c r="K7" i="15"/>
  <c r="H7" i="15"/>
  <c r="B7" i="15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AI6" i="15"/>
  <c r="AF6" i="15"/>
  <c r="AC6" i="15"/>
  <c r="Z6" i="15"/>
  <c r="W6" i="15"/>
  <c r="T6" i="15"/>
  <c r="Q6" i="15"/>
  <c r="N6" i="15"/>
  <c r="K6" i="15"/>
  <c r="H6" i="15"/>
  <c r="B6" i="15"/>
  <c r="AI5" i="15"/>
  <c r="AF5" i="15"/>
  <c r="AC5" i="15"/>
  <c r="Z5" i="15"/>
  <c r="W5" i="15"/>
  <c r="T5" i="15"/>
  <c r="Q5" i="15"/>
  <c r="N5" i="15"/>
  <c r="K5" i="15"/>
  <c r="H5" i="15"/>
  <c r="M23" i="8"/>
  <c r="M26" i="8" s="1"/>
  <c r="M22" i="8"/>
  <c r="M25" i="8" s="1"/>
  <c r="AH24" i="4"/>
  <c r="AH26" i="4" s="1"/>
  <c r="AG24" i="4"/>
  <c r="AG26" i="4" s="1"/>
  <c r="AH23" i="4"/>
  <c r="AG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T24" i="15" l="1"/>
  <c r="AQ23" i="15"/>
  <c r="AQ23" i="4"/>
  <c r="Z23" i="15"/>
  <c r="AP23" i="15"/>
  <c r="AP23" i="4"/>
  <c r="AL24" i="4"/>
  <c r="AO23" i="15"/>
  <c r="AO24" i="15"/>
  <c r="K45" i="15"/>
  <c r="AC23" i="15"/>
  <c r="AR37" i="15"/>
  <c r="AR43" i="15"/>
  <c r="AR46" i="15"/>
  <c r="N50" i="15"/>
  <c r="W51" i="15"/>
  <c r="AL24" i="15"/>
  <c r="AR34" i="15"/>
  <c r="H37" i="15"/>
  <c r="AR40" i="15"/>
  <c r="AO23" i="4"/>
  <c r="AO24" i="4"/>
  <c r="AL23" i="4"/>
  <c r="AK26" i="4"/>
  <c r="AF24" i="15"/>
  <c r="K36" i="15"/>
  <c r="AQ42" i="15"/>
  <c r="AR42" i="15" s="1"/>
  <c r="AR47" i="15"/>
  <c r="AI23" i="15"/>
  <c r="AQ38" i="15"/>
  <c r="AR38" i="15" s="1"/>
  <c r="AQ41" i="15"/>
  <c r="AR41" i="15" s="1"/>
  <c r="AF23" i="15"/>
  <c r="N23" i="15"/>
  <c r="N24" i="15"/>
  <c r="H23" i="15"/>
  <c r="AC24" i="15"/>
  <c r="W23" i="15"/>
  <c r="T23" i="15"/>
  <c r="Q24" i="15"/>
  <c r="H24" i="15"/>
  <c r="AR6" i="15"/>
  <c r="F26" i="15"/>
  <c r="AR7" i="15"/>
  <c r="AR8" i="15"/>
  <c r="AR9" i="15"/>
  <c r="AR10" i="15"/>
  <c r="AR11" i="15"/>
  <c r="AR12" i="15"/>
  <c r="AR13" i="15"/>
  <c r="AR14" i="15"/>
  <c r="AR15" i="15"/>
  <c r="AR16" i="15"/>
  <c r="AR17" i="15"/>
  <c r="AR18" i="15"/>
  <c r="AR19" i="15"/>
  <c r="AR20" i="15"/>
  <c r="AR21" i="15"/>
  <c r="AP24" i="15"/>
  <c r="AP26" i="15" s="1"/>
  <c r="G50" i="15"/>
  <c r="AP50" i="15"/>
  <c r="G51" i="15"/>
  <c r="H51" i="15" s="1"/>
  <c r="AR5" i="15"/>
  <c r="Q23" i="15"/>
  <c r="Z24" i="15"/>
  <c r="H33" i="15"/>
  <c r="H38" i="15"/>
  <c r="H41" i="15"/>
  <c r="H42" i="15"/>
  <c r="T50" i="15"/>
  <c r="AP51" i="15"/>
  <c r="M53" i="15"/>
  <c r="AI24" i="15"/>
  <c r="AQ35" i="15"/>
  <c r="AR35" i="15" s="1"/>
  <c r="AQ36" i="15"/>
  <c r="AR36" i="15" s="1"/>
  <c r="Q50" i="15"/>
  <c r="K23" i="15"/>
  <c r="J50" i="15"/>
  <c r="W50" i="15"/>
  <c r="AI23" i="4"/>
  <c r="AI24" i="4"/>
  <c r="L23" i="8"/>
  <c r="L26" i="8" s="1"/>
  <c r="L22" i="8"/>
  <c r="L25" i="8" s="1"/>
  <c r="AR21" i="4"/>
  <c r="AR19" i="4"/>
  <c r="AR17" i="4"/>
  <c r="AR15" i="4"/>
  <c r="AR13" i="4"/>
  <c r="AR11" i="4"/>
  <c r="AR9" i="4"/>
  <c r="AR7" i="4"/>
  <c r="AE24" i="4"/>
  <c r="AE26" i="4" s="1"/>
  <c r="AD24" i="4"/>
  <c r="AD26" i="4" s="1"/>
  <c r="AE23" i="4"/>
  <c r="AD23" i="4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5" i="4"/>
  <c r="AR5" i="4"/>
  <c r="AR6" i="4"/>
  <c r="AR8" i="4"/>
  <c r="AR10" i="4"/>
  <c r="AR12" i="4"/>
  <c r="AR14" i="4"/>
  <c r="AR16" i="4"/>
  <c r="AR18" i="4"/>
  <c r="AR20" i="4"/>
  <c r="AR22" i="4"/>
  <c r="AP32" i="4"/>
  <c r="AQ32" i="4"/>
  <c r="AP33" i="4"/>
  <c r="AP34" i="4"/>
  <c r="AP35" i="4"/>
  <c r="AP36" i="4"/>
  <c r="AP37" i="4"/>
  <c r="AP38" i="4"/>
  <c r="AP39" i="4"/>
  <c r="AQ39" i="4"/>
  <c r="AP40" i="4"/>
  <c r="AQ40" i="4"/>
  <c r="AP41" i="4"/>
  <c r="AP42" i="4"/>
  <c r="AP43" i="4"/>
  <c r="AQ43" i="4"/>
  <c r="AP44" i="4"/>
  <c r="AQ44" i="4"/>
  <c r="AP45" i="4"/>
  <c r="AP46" i="4"/>
  <c r="AQ46" i="4"/>
  <c r="AP47" i="4"/>
  <c r="AQ47" i="4"/>
  <c r="AR47" i="4" s="1"/>
  <c r="AP48" i="4"/>
  <c r="AQ48" i="4"/>
  <c r="AP49" i="4"/>
  <c r="AQ49" i="4"/>
  <c r="AR49" i="4" s="1"/>
  <c r="K23" i="8"/>
  <c r="K26" i="8" s="1"/>
  <c r="K22" i="8"/>
  <c r="K25" i="8" s="1"/>
  <c r="AB24" i="4"/>
  <c r="AB26" i="4" s="1"/>
  <c r="AA24" i="4"/>
  <c r="AA26" i="4" s="1"/>
  <c r="AB23" i="4"/>
  <c r="AA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AP51" i="4" l="1"/>
  <c r="AR48" i="4"/>
  <c r="AR46" i="4"/>
  <c r="AR43" i="4"/>
  <c r="AR40" i="4"/>
  <c r="AF23" i="4"/>
  <c r="AR23" i="15"/>
  <c r="J53" i="15"/>
  <c r="K50" i="15"/>
  <c r="AQ51" i="15"/>
  <c r="AR51" i="15" s="1"/>
  <c r="AQ50" i="15"/>
  <c r="AR50" i="15" s="1"/>
  <c r="G53" i="15"/>
  <c r="H50" i="15"/>
  <c r="AP50" i="4"/>
  <c r="AR44" i="4"/>
  <c r="AR39" i="4"/>
  <c r="AR32" i="4"/>
  <c r="AP24" i="4"/>
  <c r="AP26" i="4" s="1"/>
  <c r="AF24" i="4"/>
  <c r="AC23" i="4"/>
  <c r="AQ24" i="4"/>
  <c r="AC24" i="4"/>
  <c r="AR24" i="4" l="1"/>
  <c r="AQ26" i="4"/>
  <c r="AR23" i="4"/>
  <c r="Z22" i="4" l="1"/>
  <c r="Z21" i="4"/>
  <c r="Z20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Z5" i="4"/>
  <c r="Y24" i="4"/>
  <c r="X24" i="4"/>
  <c r="X26" i="4" s="1"/>
  <c r="Y23" i="4"/>
  <c r="X23" i="4"/>
  <c r="Z24" i="4" l="1"/>
  <c r="J22" i="8"/>
  <c r="J25" i="8" s="1"/>
  <c r="Y26" i="4"/>
  <c r="J23" i="8"/>
  <c r="J26" i="8" s="1"/>
  <c r="Z23" i="4"/>
  <c r="V51" i="4" l="1"/>
  <c r="U51" i="4"/>
  <c r="V50" i="4"/>
  <c r="V53" i="4" s="1"/>
  <c r="U53" i="4"/>
  <c r="W49" i="4"/>
  <c r="W48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V24" i="4"/>
  <c r="W24" i="4" s="1"/>
  <c r="V23" i="4"/>
  <c r="V26" i="4" s="1"/>
  <c r="U26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W5" i="4"/>
  <c r="D26" i="8"/>
  <c r="F23" i="8"/>
  <c r="F26" i="8" s="1"/>
  <c r="E23" i="8"/>
  <c r="E26" i="8" s="1"/>
  <c r="D23" i="8"/>
  <c r="F22" i="8"/>
  <c r="E22" i="8"/>
  <c r="D22" i="8"/>
  <c r="P9" i="8"/>
  <c r="I23" i="8" l="1"/>
  <c r="I26" i="8" s="1"/>
  <c r="W51" i="4"/>
  <c r="W23" i="4"/>
  <c r="W50" i="4"/>
  <c r="I22" i="8"/>
  <c r="I25" i="8" s="1"/>
  <c r="P20" i="8" l="1"/>
  <c r="P19" i="8"/>
  <c r="P18" i="8" l="1"/>
  <c r="H22" i="8" l="1"/>
  <c r="H25" i="8" s="1"/>
  <c r="H23" i="8"/>
  <c r="H26" i="8" s="1"/>
  <c r="R51" i="4" l="1"/>
  <c r="S51" i="4"/>
  <c r="S50" i="4"/>
  <c r="R50" i="4"/>
  <c r="R53" i="4" s="1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K49" i="4"/>
  <c r="K48" i="4"/>
  <c r="K47" i="4"/>
  <c r="K46" i="4"/>
  <c r="K44" i="4"/>
  <c r="K43" i="4"/>
  <c r="K40" i="4"/>
  <c r="K39" i="4"/>
  <c r="K37" i="4"/>
  <c r="K35" i="4"/>
  <c r="K34" i="4"/>
  <c r="K33" i="4"/>
  <c r="K32" i="4"/>
  <c r="H49" i="4"/>
  <c r="H48" i="4"/>
  <c r="H47" i="4"/>
  <c r="H46" i="4"/>
  <c r="H45" i="4"/>
  <c r="H44" i="4"/>
  <c r="H43" i="4"/>
  <c r="H40" i="4"/>
  <c r="H39" i="4"/>
  <c r="H32" i="4"/>
  <c r="P50" i="4"/>
  <c r="O50" i="4"/>
  <c r="M50" i="4"/>
  <c r="L50" i="4"/>
  <c r="I50" i="4"/>
  <c r="F50" i="4"/>
  <c r="B49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S26" i="4"/>
  <c r="R23" i="4"/>
  <c r="R26" i="4" s="1"/>
  <c r="P23" i="4"/>
  <c r="O23" i="4"/>
  <c r="M23" i="4"/>
  <c r="L23" i="4"/>
  <c r="J23" i="4"/>
  <c r="I23" i="4"/>
  <c r="F23" i="4"/>
  <c r="G23" i="4"/>
  <c r="S24" i="4"/>
  <c r="R24" i="4"/>
  <c r="F25" i="8"/>
  <c r="E25" i="8"/>
  <c r="D25" i="8"/>
  <c r="B5" i="8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T50" i="4" l="1"/>
  <c r="S53" i="4"/>
  <c r="T51" i="4"/>
  <c r="T24" i="4"/>
  <c r="T23" i="4"/>
  <c r="B5" i="7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O51" i="4" l="1"/>
  <c r="P51" i="4"/>
  <c r="P53" i="4"/>
  <c r="O53" i="4"/>
  <c r="Q51" i="4" l="1"/>
  <c r="Q50" i="4"/>
  <c r="P24" i="4" l="1"/>
  <c r="O24" i="4"/>
  <c r="P26" i="4"/>
  <c r="P16" i="8"/>
  <c r="Q23" i="4" l="1"/>
  <c r="Q24" i="4"/>
  <c r="O26" i="4"/>
  <c r="P21" i="8" l="1"/>
  <c r="P14" i="8"/>
  <c r="P13" i="8"/>
  <c r="P10" i="8"/>
  <c r="P8" i="8"/>
  <c r="P6" i="8"/>
  <c r="P5" i="8"/>
  <c r="P11" i="8" l="1"/>
  <c r="P12" i="8"/>
  <c r="P15" i="8"/>
  <c r="P7" i="8"/>
  <c r="P17" i="8"/>
  <c r="P4" i="8"/>
  <c r="G23" i="8" l="1"/>
  <c r="G26" i="8" s="1"/>
  <c r="G22" i="8"/>
  <c r="G25" i="8" s="1"/>
  <c r="P23" i="8" l="1"/>
  <c r="P26" i="8" s="1"/>
  <c r="P22" i="8"/>
  <c r="P25" i="8" s="1"/>
  <c r="M51" i="4"/>
  <c r="M53" i="4"/>
  <c r="M24" i="4" l="1"/>
  <c r="G42" i="4" l="1"/>
  <c r="G41" i="4"/>
  <c r="G38" i="4"/>
  <c r="G37" i="4"/>
  <c r="AQ37" i="4" s="1"/>
  <c r="AR37" i="4" s="1"/>
  <c r="G36" i="4"/>
  <c r="G35" i="4"/>
  <c r="AQ35" i="4" s="1"/>
  <c r="AR35" i="4" s="1"/>
  <c r="G34" i="4"/>
  <c r="AQ34" i="4" s="1"/>
  <c r="AR34" i="4" s="1"/>
  <c r="G33" i="4"/>
  <c r="AQ33" i="4" s="1"/>
  <c r="J45" i="4"/>
  <c r="AQ45" i="4" s="1"/>
  <c r="AR45" i="4" s="1"/>
  <c r="J42" i="4"/>
  <c r="K42" i="4" s="1"/>
  <c r="J41" i="4"/>
  <c r="K41" i="4" s="1"/>
  <c r="J38" i="4"/>
  <c r="K38" i="4" s="1"/>
  <c r="J36" i="4"/>
  <c r="L51" i="4"/>
  <c r="N51" i="4" s="1"/>
  <c r="I51" i="4"/>
  <c r="F51" i="4"/>
  <c r="I53" i="4"/>
  <c r="F53" i="4"/>
  <c r="E50" i="4"/>
  <c r="D50" i="4"/>
  <c r="B33" i="4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L24" i="4"/>
  <c r="N24" i="4" s="1"/>
  <c r="F24" i="4"/>
  <c r="F26" i="4"/>
  <c r="J24" i="4"/>
  <c r="J26" i="4" s="1"/>
  <c r="I24" i="4"/>
  <c r="G24" i="4"/>
  <c r="I26" i="4"/>
  <c r="E23" i="4"/>
  <c r="D23" i="4"/>
  <c r="B6" i="4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AQ42" i="4" l="1"/>
  <c r="AR42" i="4" s="1"/>
  <c r="AR33" i="4"/>
  <c r="AQ36" i="4"/>
  <c r="AR36" i="4" s="1"/>
  <c r="AQ38" i="4"/>
  <c r="AR38" i="4" s="1"/>
  <c r="AQ41" i="4"/>
  <c r="AR41" i="4" s="1"/>
  <c r="H36" i="4"/>
  <c r="H37" i="4"/>
  <c r="J51" i="4"/>
  <c r="K51" i="4" s="1"/>
  <c r="J50" i="4"/>
  <c r="K36" i="4"/>
  <c r="H42" i="4"/>
  <c r="H33" i="4"/>
  <c r="G50" i="4"/>
  <c r="G53" i="4" s="1"/>
  <c r="H34" i="4"/>
  <c r="H38" i="4"/>
  <c r="K45" i="4"/>
  <c r="H35" i="4"/>
  <c r="H41" i="4"/>
  <c r="H24" i="4"/>
  <c r="G51" i="4"/>
  <c r="H51" i="4" s="1"/>
  <c r="J53" i="4"/>
  <c r="L53" i="4"/>
  <c r="N50" i="4"/>
  <c r="L26" i="4"/>
  <c r="N23" i="4"/>
  <c r="K24" i="4"/>
  <c r="H23" i="4"/>
  <c r="K23" i="4"/>
  <c r="AQ50" i="4" l="1"/>
  <c r="AR50" i="4" s="1"/>
  <c r="AQ51" i="4"/>
  <c r="AR51" i="4" s="1"/>
  <c r="H50" i="4"/>
  <c r="K50" i="4"/>
  <c r="J24" i="15" l="1"/>
  <c r="K24" i="15" s="1"/>
  <c r="K22" i="15"/>
  <c r="AQ22" i="15"/>
  <c r="AR22" i="15" s="1"/>
  <c r="AQ24" i="15" l="1"/>
  <c r="AR24" i="15" l="1"/>
  <c r="AQ26" i="15"/>
</calcChain>
</file>

<file path=xl/sharedStrings.xml><?xml version="1.0" encoding="utf-8"?>
<sst xmlns="http://schemas.openxmlformats.org/spreadsheetml/2006/main" count="543" uniqueCount="101">
  <si>
    <t>No</t>
  </si>
  <si>
    <t>Type</t>
  </si>
  <si>
    <t>QTY BUDGET</t>
  </si>
  <si>
    <t>Budget Jan</t>
  </si>
  <si>
    <t>M1</t>
  </si>
  <si>
    <t>M2</t>
  </si>
  <si>
    <t>M3</t>
  </si>
  <si>
    <t>M4</t>
  </si>
  <si>
    <t>TOTAL</t>
  </si>
  <si>
    <t>%</t>
  </si>
  <si>
    <t>EQV</t>
  </si>
  <si>
    <t>Export  Kagukuro</t>
  </si>
  <si>
    <t>BNC-05 Series (Rolland)</t>
  </si>
  <si>
    <t>Folding Chair</t>
  </si>
  <si>
    <t>Folding Chair + Memo</t>
  </si>
  <si>
    <t>HBR</t>
  </si>
  <si>
    <t>Caesar</t>
  </si>
  <si>
    <t>Working &amp; Meeting</t>
  </si>
  <si>
    <t>PANEL</t>
  </si>
  <si>
    <t>PROJECT</t>
  </si>
  <si>
    <t>School</t>
  </si>
  <si>
    <t>Project (Kawai Paramount)</t>
  </si>
  <si>
    <t>ZAO</t>
  </si>
  <si>
    <t>Nursing Bed</t>
  </si>
  <si>
    <t>CCI</t>
  </si>
  <si>
    <t>Dragon</t>
  </si>
  <si>
    <t>Chiba</t>
  </si>
  <si>
    <t>Zao Non Proses</t>
  </si>
  <si>
    <t>Reguler + Zao Proses</t>
  </si>
  <si>
    <t>Reguler + Zao Non Proses</t>
  </si>
  <si>
    <t>JUMLAH HARI</t>
  </si>
  <si>
    <t>RATA@</t>
  </si>
  <si>
    <t>Budget 2024</t>
  </si>
  <si>
    <t>JANUARI</t>
  </si>
  <si>
    <t xml:space="preserve">APS </t>
  </si>
  <si>
    <t>HASIL</t>
  </si>
  <si>
    <t>FEBUARI</t>
  </si>
  <si>
    <t>MARET</t>
  </si>
  <si>
    <t>HASIL PRODUKSI 2024 (HEAD TO HEAD APS)</t>
  </si>
  <si>
    <t>APS Jan</t>
  </si>
  <si>
    <t>APRIL</t>
  </si>
  <si>
    <t>Eqv</t>
  </si>
  <si>
    <t>Asc Bed</t>
  </si>
  <si>
    <t>JAN</t>
  </si>
  <si>
    <t>FEB</t>
  </si>
  <si>
    <t>MAR</t>
  </si>
  <si>
    <t>MEI</t>
  </si>
  <si>
    <t>Un Moving</t>
  </si>
  <si>
    <t>Kawai</t>
  </si>
  <si>
    <t>APR</t>
  </si>
  <si>
    <t>MAY</t>
  </si>
  <si>
    <t>JUN</t>
  </si>
  <si>
    <t>Rata-rata Reguler + Zao Proses</t>
  </si>
  <si>
    <t>Rata-rata Reguler + Zao Non Proses</t>
  </si>
  <si>
    <t>JUNI</t>
  </si>
  <si>
    <t>RATA-RATA Reguler + Zao Proses</t>
  </si>
  <si>
    <t>RATA-RATA Reguler + Zao Non Proses</t>
  </si>
  <si>
    <t>JULI</t>
  </si>
  <si>
    <t>JUL</t>
  </si>
  <si>
    <t>AGUSTUS</t>
  </si>
  <si>
    <t>AGST</t>
  </si>
  <si>
    <t>SEPTEMBER</t>
  </si>
  <si>
    <t>SEPT</t>
  </si>
  <si>
    <t>RATA-RATA</t>
  </si>
  <si>
    <t>OKTOBER</t>
  </si>
  <si>
    <t>OKT</t>
  </si>
  <si>
    <t>NOVEMBER</t>
  </si>
  <si>
    <t>DESENBER</t>
  </si>
  <si>
    <t>kawai</t>
  </si>
  <si>
    <t>DESEMBER</t>
  </si>
  <si>
    <t>NOV</t>
  </si>
  <si>
    <t>DES</t>
  </si>
  <si>
    <t>HASIL EQV PRODUKSI 2025</t>
  </si>
  <si>
    <t>Resume Eqv 2025</t>
  </si>
  <si>
    <t>HASIL PRODUKSI JANUARI 2025</t>
  </si>
  <si>
    <t>EQV Jan</t>
  </si>
  <si>
    <t>HASIL Jan</t>
  </si>
  <si>
    <t>HASIL PRODUKSI 2025</t>
  </si>
  <si>
    <t>APS FEBRUARI 2025</t>
  </si>
  <si>
    <t>Budget Feb</t>
  </si>
  <si>
    <t>APS Feb</t>
  </si>
  <si>
    <t>EQV Feb</t>
  </si>
  <si>
    <t>HASIL Feb</t>
  </si>
  <si>
    <t>APS MARET 2025</t>
  </si>
  <si>
    <t>Budget Mar</t>
  </si>
  <si>
    <t>APS Maret</t>
  </si>
  <si>
    <t>EQV Mar</t>
  </si>
  <si>
    <t>Hasil Mar</t>
  </si>
  <si>
    <t>C4</t>
  </si>
  <si>
    <t>C3</t>
  </si>
  <si>
    <t>APS APRIL 2025</t>
  </si>
  <si>
    <t>Budget Apr</t>
  </si>
  <si>
    <t>APS APRIL</t>
  </si>
  <si>
    <t>EQV APRIL</t>
  </si>
  <si>
    <t>Hasil April</t>
  </si>
  <si>
    <t xml:space="preserve">                      -  </t>
  </si>
  <si>
    <t>APS MEI 2025</t>
  </si>
  <si>
    <t>Budget Mei</t>
  </si>
  <si>
    <t>APS MEI</t>
  </si>
  <si>
    <t>EQV MEI</t>
  </si>
  <si>
    <t>Hasil Mei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</si>
</sst>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_);_(* \(#,##0\);_(* \-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b/>
      <u/>
      <sz val="11"/>
      <color theme="10"/>
      <name val="Calibri"/>
      <family val="2"/>
      <scheme val="minor"/>
    </font>
    <font>
      <sz val="11"/>
      <name val="Calibri"/>
      <family val="2"/>
      <charset val="1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7" fillId="0" borderId="0"/>
  </cellStyleXfs>
  <cellXfs count="106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/>
    <xf numFmtId="164" fontId="0" fillId="0" borderId="1" xfId="1" applyNumberFormat="1" applyFont="1" applyBorder="1"/>
    <xf numFmtId="164" fontId="7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5" fontId="0" fillId="0" borderId="2" xfId="1" applyNumberFormat="1" applyFont="1" applyBorder="1" applyAlignment="1" applyProtection="1">
      <alignment vertical="center"/>
    </xf>
    <xf numFmtId="164" fontId="0" fillId="0" borderId="1" xfId="0" applyNumberFormat="1" applyBorder="1"/>
    <xf numFmtId="164" fontId="2" fillId="6" borderId="1" xfId="1" applyNumberFormat="1" applyFont="1" applyFill="1" applyBorder="1"/>
    <xf numFmtId="0" fontId="2" fillId="0" borderId="1" xfId="0" applyFont="1" applyBorder="1" applyAlignment="1">
      <alignment horizontal="center"/>
    </xf>
    <xf numFmtId="0" fontId="7" fillId="0" borderId="1" xfId="5" applyBorder="1" applyAlignment="1">
      <alignment horizontal="center" vertical="center"/>
    </xf>
    <xf numFmtId="0" fontId="5" fillId="0" borderId="1" xfId="0" applyFont="1" applyBorder="1"/>
    <xf numFmtId="0" fontId="5" fillId="2" borderId="1" xfId="0" applyFont="1" applyFill="1" applyBorder="1" applyAlignment="1">
      <alignment vertical="center"/>
    </xf>
    <xf numFmtId="164" fontId="5" fillId="0" borderId="1" xfId="0" applyNumberFormat="1" applyFont="1" applyBorder="1"/>
    <xf numFmtId="164" fontId="5" fillId="4" borderId="1" xfId="1" applyNumberFormat="1" applyFont="1" applyFill="1" applyBorder="1"/>
    <xf numFmtId="0" fontId="5" fillId="7" borderId="1" xfId="0" applyFont="1" applyFill="1" applyBorder="1" applyAlignment="1">
      <alignment vertical="center"/>
    </xf>
    <xf numFmtId="164" fontId="5" fillId="7" borderId="1" xfId="1" applyNumberFormat="1" applyFont="1" applyFill="1" applyBorder="1"/>
    <xf numFmtId="0" fontId="0" fillId="0" borderId="1" xfId="0" applyBorder="1"/>
    <xf numFmtId="9" fontId="5" fillId="0" borderId="1" xfId="2" applyFont="1" applyBorder="1" applyAlignment="1">
      <alignment vertical="center" wrapText="1"/>
    </xf>
    <xf numFmtId="0" fontId="8" fillId="0" borderId="1" xfId="3" applyFont="1" applyFill="1" applyBorder="1"/>
    <xf numFmtId="164" fontId="2" fillId="0" borderId="1" xfId="0" applyNumberFormat="1" applyFont="1" applyBorder="1"/>
    <xf numFmtId="164" fontId="9" fillId="0" borderId="1" xfId="1" applyNumberFormat="1" applyFont="1" applyBorder="1" applyAlignment="1" applyProtection="1">
      <alignment vertical="center"/>
      <protection locked="0"/>
    </xf>
    <xf numFmtId="164" fontId="0" fillId="0" borderId="0" xfId="0" applyNumberFormat="1"/>
    <xf numFmtId="164" fontId="0" fillId="0" borderId="1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9" fontId="7" fillId="0" borderId="1" xfId="2" applyFont="1" applyBorder="1" applyAlignment="1">
      <alignment horizontal="center" vertical="center"/>
    </xf>
    <xf numFmtId="9" fontId="5" fillId="4" borderId="1" xfId="2" applyFont="1" applyFill="1" applyBorder="1"/>
    <xf numFmtId="0" fontId="2" fillId="8" borderId="1" xfId="0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vertical="center"/>
    </xf>
    <xf numFmtId="164" fontId="10" fillId="0" borderId="1" xfId="1" applyNumberFormat="1" applyFont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9" borderId="1" xfId="4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164" fontId="12" fillId="0" borderId="8" xfId="1" applyNumberFormat="1" applyFont="1" applyBorder="1" applyAlignment="1" applyProtection="1">
      <alignment horizontal="left" vertical="center"/>
    </xf>
    <xf numFmtId="43" fontId="0" fillId="0" borderId="0" xfId="0" applyNumberFormat="1"/>
    <xf numFmtId="9" fontId="0" fillId="0" borderId="0" xfId="2" applyFont="1"/>
    <xf numFmtId="164" fontId="0" fillId="0" borderId="0" xfId="1" applyNumberFormat="1" applyFont="1"/>
    <xf numFmtId="164" fontId="0" fillId="0" borderId="1" xfId="1" applyNumberFormat="1" applyFont="1" applyBorder="1" applyAlignment="1">
      <alignment horizontal="center"/>
    </xf>
    <xf numFmtId="164" fontId="0" fillId="0" borderId="9" xfId="1" applyNumberFormat="1" applyFont="1" applyFill="1" applyBorder="1"/>
    <xf numFmtId="165" fontId="0" fillId="0" borderId="7" xfId="1" applyNumberFormat="1" applyFont="1" applyBorder="1" applyAlignment="1" applyProtection="1">
      <alignment vertical="center"/>
    </xf>
    <xf numFmtId="164" fontId="12" fillId="0" borderId="10" xfId="1" applyNumberFormat="1" applyFont="1" applyBorder="1" applyAlignment="1" applyProtection="1">
      <alignment horizontal="left" vertical="center" wrapText="1"/>
    </xf>
    <xf numFmtId="0" fontId="2" fillId="4" borderId="6" xfId="0" applyFont="1" applyFill="1" applyBorder="1" applyAlignment="1">
      <alignment horizontal="center" vertical="center"/>
    </xf>
    <xf numFmtId="9" fontId="2" fillId="0" borderId="1" xfId="2" applyFont="1" applyBorder="1"/>
    <xf numFmtId="0" fontId="5" fillId="2" borderId="11" xfId="0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4" xfId="0" applyFont="1" applyBorder="1"/>
    <xf numFmtId="164" fontId="5" fillId="4" borderId="8" xfId="1" applyNumberFormat="1" applyFont="1" applyFill="1" applyBorder="1"/>
    <xf numFmtId="0" fontId="0" fillId="0" borderId="14" xfId="0" applyBorder="1"/>
    <xf numFmtId="0" fontId="2" fillId="0" borderId="8" xfId="0" applyFont="1" applyBorder="1"/>
    <xf numFmtId="164" fontId="2" fillId="0" borderId="8" xfId="0" applyNumberFormat="1" applyFont="1" applyBorder="1"/>
    <xf numFmtId="0" fontId="0" fillId="0" borderId="15" xfId="0" applyBorder="1"/>
    <xf numFmtId="0" fontId="0" fillId="0" borderId="16" xfId="0" applyBorder="1"/>
    <xf numFmtId="164" fontId="2" fillId="0" borderId="16" xfId="1" applyNumberFormat="1" applyFont="1" applyBorder="1"/>
    <xf numFmtId="164" fontId="2" fillId="0" borderId="18" xfId="0" applyNumberFormat="1" applyFont="1" applyBorder="1"/>
    <xf numFmtId="164" fontId="0" fillId="0" borderId="1" xfId="1" applyNumberFormat="1" applyFont="1" applyFill="1" applyBorder="1"/>
    <xf numFmtId="9" fontId="0" fillId="0" borderId="1" xfId="2" applyFont="1" applyFill="1" applyBorder="1"/>
    <xf numFmtId="164" fontId="0" fillId="10" borderId="1" xfId="0" applyNumberFormat="1" applyFill="1" applyBorder="1"/>
    <xf numFmtId="164" fontId="2" fillId="0" borderId="0" xfId="0" applyNumberFormat="1" applyFont="1"/>
    <xf numFmtId="0" fontId="2" fillId="0" borderId="0" xfId="0" applyFont="1"/>
    <xf numFmtId="9" fontId="0" fillId="6" borderId="1" xfId="2" applyFont="1" applyFill="1" applyBorder="1"/>
    <xf numFmtId="9" fontId="5" fillId="2" borderId="1" xfId="2" applyFont="1" applyFill="1" applyBorder="1" applyAlignment="1">
      <alignment vertical="center" wrapText="1"/>
    </xf>
    <xf numFmtId="9" fontId="5" fillId="7" borderId="1" xfId="2" applyFont="1" applyFill="1" applyBorder="1" applyAlignment="1">
      <alignment vertical="center" wrapText="1"/>
    </xf>
    <xf numFmtId="0" fontId="0" fillId="0" borderId="0" xfId="0" applyAlignment="1">
      <alignment horizontal="center"/>
    </xf>
    <xf numFmtId="9" fontId="0" fillId="10" borderId="1" xfId="2" applyFont="1" applyFill="1" applyBorder="1"/>
    <xf numFmtId="9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164" fontId="5" fillId="0" borderId="1" xfId="1" applyNumberFormat="1" applyFont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4" fontId="14" fillId="0" borderId="2" xfId="0" applyNumberFormat="1" applyFont="1" applyBorder="1" applyAlignment="1">
      <alignment vertical="center"/>
    </xf>
    <xf numFmtId="164" fontId="14" fillId="0" borderId="7" xfId="0" applyNumberFormat="1" applyFont="1" applyBorder="1" applyAlignment="1">
      <alignment vertical="center"/>
    </xf>
    <xf numFmtId="164" fontId="14" fillId="0" borderId="17" xfId="0" applyNumberFormat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4" applyFont="1" applyFill="1" applyBorder="1" applyAlignment="1">
      <alignment horizontal="center" vertical="center"/>
    </xf>
    <xf numFmtId="0" fontId="5" fillId="2" borderId="3" xfId="4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164" fontId="0" fillId="10" borderId="1" xfId="1" applyNumberFormat="1" applyFont="1" applyFill="1" applyBorder="1"/>
  </cellXfs>
  <cellStyles count="6">
    <cellStyle name="Comma" xfId="1" builtinId="3"/>
    <cellStyle name="Hyperlink" xfId="3" builtinId="8"/>
    <cellStyle name="Normal" xfId="0" builtinId="0"/>
    <cellStyle name="Normal 2" xfId="5" xr:uid="{00000000-0005-0000-0000-000003000000}"/>
    <cellStyle name="Normal 3 10" xfId="4" xr:uid="{00000000-0005-0000-0000-000004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RATA@" TargetMode="External"/><Relationship Id="rId1" Type="http://schemas.openxmlformats.org/officeDocument/2006/relationships/hyperlink" Target="mailto:RATA@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RATA@" TargetMode="External"/><Relationship Id="rId1" Type="http://schemas.openxmlformats.org/officeDocument/2006/relationships/hyperlink" Target="mailto:RATA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26"/>
  <sheetViews>
    <sheetView zoomScale="80" zoomScaleNormal="80" workbookViewId="0">
      <selection activeCell="E4" sqref="E4:E17"/>
    </sheetView>
  </sheetViews>
  <sheetFormatPr defaultRowHeight="15" x14ac:dyDescent="0.25"/>
  <cols>
    <col min="2" max="2" width="7.7109375" customWidth="1"/>
    <col min="3" max="3" width="38.85546875" bestFit="1" customWidth="1"/>
    <col min="4" max="4" width="11.7109375" customWidth="1"/>
    <col min="5" max="9" width="11.42578125" customWidth="1"/>
    <col min="10" max="10" width="11.42578125" hidden="1" customWidth="1"/>
    <col min="11" max="13" width="11.42578125" customWidth="1"/>
    <col min="14" max="14" width="9.140625" hidden="1" customWidth="1"/>
    <col min="15" max="15" width="9.5703125" customWidth="1"/>
    <col min="17" max="17" width="15.42578125" bestFit="1" customWidth="1"/>
  </cols>
  <sheetData>
    <row r="2" spans="2:17" ht="19.5" thickBot="1" x14ac:dyDescent="0.35">
      <c r="C2" s="1" t="s">
        <v>74</v>
      </c>
    </row>
    <row r="3" spans="2:17" ht="15.75" x14ac:dyDescent="0.25">
      <c r="B3" s="49" t="s">
        <v>0</v>
      </c>
      <c r="C3" s="50" t="s">
        <v>1</v>
      </c>
      <c r="D3" s="51" t="s">
        <v>3</v>
      </c>
      <c r="E3" s="52" t="s">
        <v>39</v>
      </c>
      <c r="F3" s="53" t="s">
        <v>75</v>
      </c>
      <c r="G3" s="53" t="s">
        <v>4</v>
      </c>
      <c r="H3" s="53" t="s">
        <v>5</v>
      </c>
      <c r="I3" s="53" t="s">
        <v>6</v>
      </c>
      <c r="J3" s="53" t="s">
        <v>7</v>
      </c>
      <c r="K3" s="54" t="s">
        <v>76</v>
      </c>
      <c r="L3" s="54" t="s">
        <v>9</v>
      </c>
      <c r="M3" s="55" t="s">
        <v>10</v>
      </c>
    </row>
    <row r="4" spans="2:17" x14ac:dyDescent="0.25">
      <c r="B4" s="56">
        <v>1</v>
      </c>
      <c r="C4" s="7" t="s">
        <v>11</v>
      </c>
      <c r="D4" s="43">
        <v>2710</v>
      </c>
      <c r="E4" s="9">
        <v>3640</v>
      </c>
      <c r="F4" s="9">
        <v>5450</v>
      </c>
      <c r="G4" s="45">
        <v>720</v>
      </c>
      <c r="H4" s="9">
        <v>1340</v>
      </c>
      <c r="I4" s="9">
        <v>1580</v>
      </c>
      <c r="J4" s="9"/>
      <c r="K4" s="67">
        <f t="shared" ref="K4:K21" si="0">G4+H4+I4+J4</f>
        <v>3640</v>
      </c>
      <c r="L4" s="68">
        <f t="shared" ref="L4:L21" si="1">IFERROR(K4/E4,0)</f>
        <v>1</v>
      </c>
      <c r="M4" s="46">
        <v>5450</v>
      </c>
      <c r="N4">
        <v>1.5</v>
      </c>
      <c r="O4" s="44"/>
    </row>
    <row r="5" spans="2:17" x14ac:dyDescent="0.25">
      <c r="B5" s="56">
        <f>B4+1</f>
        <v>2</v>
      </c>
      <c r="C5" s="7" t="s">
        <v>12</v>
      </c>
      <c r="D5" s="43">
        <v>2016</v>
      </c>
      <c r="E5" s="9">
        <v>2744</v>
      </c>
      <c r="F5" s="9">
        <f>E5*N5</f>
        <v>4116</v>
      </c>
      <c r="G5" s="12">
        <v>657</v>
      </c>
      <c r="H5" s="9">
        <v>946</v>
      </c>
      <c r="I5" s="9">
        <v>1141</v>
      </c>
      <c r="J5" s="9"/>
      <c r="K5" s="67">
        <f t="shared" si="0"/>
        <v>2744</v>
      </c>
      <c r="L5" s="68">
        <f t="shared" si="1"/>
        <v>1</v>
      </c>
      <c r="M5" s="46">
        <v>4116</v>
      </c>
      <c r="N5">
        <v>1.5</v>
      </c>
    </row>
    <row r="6" spans="2:17" ht="15.6" customHeight="1" x14ac:dyDescent="0.25">
      <c r="B6" s="56">
        <f t="shared" ref="B6:B19" si="2">B5+1</f>
        <v>3</v>
      </c>
      <c r="C6" s="7" t="s">
        <v>13</v>
      </c>
      <c r="D6" s="43">
        <v>7122</v>
      </c>
      <c r="E6" s="9">
        <v>2600</v>
      </c>
      <c r="F6" s="9">
        <f>E6*N6</f>
        <v>1560</v>
      </c>
      <c r="G6" s="12">
        <v>1666</v>
      </c>
      <c r="H6" s="9">
        <v>629</v>
      </c>
      <c r="I6" s="9">
        <v>305</v>
      </c>
      <c r="J6" s="9"/>
      <c r="K6" s="67">
        <f t="shared" si="0"/>
        <v>2600</v>
      </c>
      <c r="L6" s="68">
        <f t="shared" si="1"/>
        <v>1</v>
      </c>
      <c r="M6" s="46">
        <v>1560</v>
      </c>
      <c r="N6">
        <v>0.6</v>
      </c>
      <c r="O6" s="28"/>
    </row>
    <row r="7" spans="2:17" ht="15.6" customHeight="1" x14ac:dyDescent="0.25">
      <c r="B7" s="57">
        <f t="shared" si="2"/>
        <v>4</v>
      </c>
      <c r="C7" s="7" t="s">
        <v>14</v>
      </c>
      <c r="D7" s="43">
        <v>5788</v>
      </c>
      <c r="E7" s="9">
        <v>0</v>
      </c>
      <c r="F7" s="9">
        <v>0</v>
      </c>
      <c r="G7" s="12">
        <v>0</v>
      </c>
      <c r="H7" s="9">
        <v>0</v>
      </c>
      <c r="I7" s="9">
        <v>0</v>
      </c>
      <c r="J7" s="9"/>
      <c r="K7" s="67">
        <f>G7+H7+I7+J7</f>
        <v>0</v>
      </c>
      <c r="L7" s="68">
        <f t="shared" si="1"/>
        <v>0</v>
      </c>
      <c r="M7" s="46">
        <v>0</v>
      </c>
      <c r="N7">
        <v>0.75</v>
      </c>
      <c r="O7" s="28"/>
    </row>
    <row r="8" spans="2:17" ht="15.6" customHeight="1" x14ac:dyDescent="0.25">
      <c r="B8" s="57">
        <f t="shared" si="2"/>
        <v>5</v>
      </c>
      <c r="C8" s="7" t="s">
        <v>15</v>
      </c>
      <c r="D8" s="43">
        <v>1960</v>
      </c>
      <c r="E8" s="67">
        <v>1846</v>
      </c>
      <c r="F8" s="9">
        <f>E8*N8</f>
        <v>2769</v>
      </c>
      <c r="G8" s="12">
        <v>120</v>
      </c>
      <c r="H8" s="9">
        <v>256</v>
      </c>
      <c r="I8" s="9">
        <v>1350</v>
      </c>
      <c r="J8" s="9"/>
      <c r="K8" s="67">
        <f t="shared" si="0"/>
        <v>1726</v>
      </c>
      <c r="L8" s="72">
        <f t="shared" si="1"/>
        <v>0.93499458288190684</v>
      </c>
      <c r="M8" s="46">
        <v>2589</v>
      </c>
      <c r="N8">
        <v>1.5</v>
      </c>
      <c r="P8" s="70"/>
      <c r="Q8" s="71"/>
    </row>
    <row r="9" spans="2:17" ht="15.6" customHeight="1" x14ac:dyDescent="0.25">
      <c r="B9" s="57">
        <f t="shared" si="2"/>
        <v>6</v>
      </c>
      <c r="C9" s="7" t="s">
        <v>16</v>
      </c>
      <c r="D9" s="43">
        <v>8247</v>
      </c>
      <c r="E9" s="67">
        <v>14769</v>
      </c>
      <c r="F9" s="9">
        <f>E9*N9</f>
        <v>14769</v>
      </c>
      <c r="G9" s="12">
        <v>3848</v>
      </c>
      <c r="H9" s="9">
        <v>5484</v>
      </c>
      <c r="I9" s="9">
        <v>4737</v>
      </c>
      <c r="J9" s="9"/>
      <c r="K9" s="67">
        <f t="shared" si="0"/>
        <v>14069</v>
      </c>
      <c r="L9" s="72">
        <f t="shared" si="1"/>
        <v>0.95260342609519943</v>
      </c>
      <c r="M9" s="46">
        <v>14069</v>
      </c>
      <c r="N9">
        <v>1</v>
      </c>
      <c r="O9" s="28"/>
      <c r="P9" s="70"/>
      <c r="Q9" s="71"/>
    </row>
    <row r="10" spans="2:17" ht="15.6" customHeight="1" x14ac:dyDescent="0.25">
      <c r="B10" s="57">
        <f t="shared" si="2"/>
        <v>7</v>
      </c>
      <c r="C10" s="7" t="s">
        <v>17</v>
      </c>
      <c r="D10" s="43">
        <v>2003</v>
      </c>
      <c r="E10" s="9">
        <v>2199</v>
      </c>
      <c r="F10" s="9">
        <f>E10*N10</f>
        <v>3298.5</v>
      </c>
      <c r="G10" s="12">
        <v>223</v>
      </c>
      <c r="H10" s="9">
        <v>1060</v>
      </c>
      <c r="I10" s="9">
        <v>931</v>
      </c>
      <c r="J10" s="9"/>
      <c r="K10" s="67">
        <f t="shared" si="0"/>
        <v>2214</v>
      </c>
      <c r="L10" s="68">
        <f t="shared" si="1"/>
        <v>1.0068212824010914</v>
      </c>
      <c r="M10" s="46">
        <v>3321</v>
      </c>
      <c r="N10">
        <v>1.5</v>
      </c>
    </row>
    <row r="11" spans="2:17" ht="15.6" customHeight="1" x14ac:dyDescent="0.25">
      <c r="B11" s="57">
        <f t="shared" si="2"/>
        <v>8</v>
      </c>
      <c r="C11" s="7" t="s">
        <v>18</v>
      </c>
      <c r="D11" s="27"/>
      <c r="E11" s="9">
        <v>0</v>
      </c>
      <c r="F11" s="9">
        <v>0</v>
      </c>
      <c r="G11" s="12">
        <v>0</v>
      </c>
      <c r="H11" s="9">
        <v>0</v>
      </c>
      <c r="I11" s="9">
        <v>0</v>
      </c>
      <c r="J11" s="9"/>
      <c r="K11" s="67">
        <f t="shared" si="0"/>
        <v>0</v>
      </c>
      <c r="L11" s="68">
        <f t="shared" si="1"/>
        <v>0</v>
      </c>
      <c r="M11" s="46">
        <v>0</v>
      </c>
      <c r="N11">
        <v>1.5</v>
      </c>
    </row>
    <row r="12" spans="2:17" ht="15.6" customHeight="1" x14ac:dyDescent="0.25">
      <c r="B12" s="57">
        <f t="shared" si="2"/>
        <v>9</v>
      </c>
      <c r="C12" s="7" t="s">
        <v>19</v>
      </c>
      <c r="D12" s="27"/>
      <c r="E12" s="9">
        <v>0</v>
      </c>
      <c r="F12" s="9">
        <v>0</v>
      </c>
      <c r="G12" s="12">
        <v>0</v>
      </c>
      <c r="H12" s="9">
        <v>0</v>
      </c>
      <c r="I12" s="9">
        <v>0</v>
      </c>
      <c r="J12" s="9"/>
      <c r="K12" s="67">
        <f t="shared" si="0"/>
        <v>0</v>
      </c>
      <c r="L12" s="68">
        <f t="shared" si="1"/>
        <v>0</v>
      </c>
      <c r="M12" s="46">
        <v>0</v>
      </c>
      <c r="N12">
        <v>1.5</v>
      </c>
    </row>
    <row r="13" spans="2:17" ht="15.6" customHeight="1" x14ac:dyDescent="0.25">
      <c r="B13" s="57">
        <f t="shared" si="2"/>
        <v>10</v>
      </c>
      <c r="C13" s="7" t="s">
        <v>20</v>
      </c>
      <c r="D13" s="27">
        <v>4600</v>
      </c>
      <c r="E13" s="9">
        <v>1958</v>
      </c>
      <c r="F13" s="9">
        <f>E13*N13</f>
        <v>2937</v>
      </c>
      <c r="G13" s="12">
        <v>816</v>
      </c>
      <c r="H13" s="9">
        <v>742</v>
      </c>
      <c r="I13" s="9">
        <v>400</v>
      </c>
      <c r="J13" s="9"/>
      <c r="K13" s="67">
        <f t="shared" si="0"/>
        <v>1958</v>
      </c>
      <c r="L13" s="68">
        <f t="shared" si="1"/>
        <v>1</v>
      </c>
      <c r="M13" s="46">
        <v>2937</v>
      </c>
      <c r="N13">
        <v>1.5</v>
      </c>
      <c r="O13" s="28"/>
    </row>
    <row r="14" spans="2:17" ht="15.6" customHeight="1" x14ac:dyDescent="0.25">
      <c r="B14" s="57">
        <f t="shared" si="2"/>
        <v>11</v>
      </c>
      <c r="C14" s="7" t="s">
        <v>48</v>
      </c>
      <c r="D14" s="43">
        <v>1800</v>
      </c>
      <c r="E14" s="9">
        <v>893</v>
      </c>
      <c r="F14" s="9">
        <f>E14*N14</f>
        <v>1339.5</v>
      </c>
      <c r="G14" s="12">
        <v>193</v>
      </c>
      <c r="H14" s="9">
        <v>479</v>
      </c>
      <c r="I14" s="9">
        <v>228</v>
      </c>
      <c r="J14" s="9"/>
      <c r="K14" s="67">
        <f t="shared" si="0"/>
        <v>900</v>
      </c>
      <c r="L14" s="68">
        <f t="shared" si="1"/>
        <v>1.0078387458006719</v>
      </c>
      <c r="M14" s="46">
        <v>1350</v>
      </c>
      <c r="N14">
        <v>1.5</v>
      </c>
    </row>
    <row r="15" spans="2:17" ht="15.6" customHeight="1" x14ac:dyDescent="0.25">
      <c r="B15" s="57">
        <f t="shared" si="2"/>
        <v>12</v>
      </c>
      <c r="C15" s="7" t="s">
        <v>22</v>
      </c>
      <c r="D15" s="43">
        <v>1109</v>
      </c>
      <c r="E15" s="9">
        <v>0</v>
      </c>
      <c r="F15" s="9">
        <v>0</v>
      </c>
      <c r="G15" s="12">
        <v>0</v>
      </c>
      <c r="H15" s="9">
        <v>266</v>
      </c>
      <c r="I15" s="9">
        <v>0</v>
      </c>
      <c r="J15" s="9"/>
      <c r="K15" s="67">
        <f t="shared" si="0"/>
        <v>266</v>
      </c>
      <c r="L15" s="68">
        <f t="shared" si="1"/>
        <v>0</v>
      </c>
      <c r="M15" s="46">
        <v>266</v>
      </c>
      <c r="N15">
        <v>1</v>
      </c>
    </row>
    <row r="16" spans="2:17" ht="15.6" customHeight="1" x14ac:dyDescent="0.25">
      <c r="B16" s="57">
        <f t="shared" si="2"/>
        <v>13</v>
      </c>
      <c r="C16" s="7" t="s">
        <v>23</v>
      </c>
      <c r="D16" s="43">
        <v>70</v>
      </c>
      <c r="E16" s="9">
        <v>220</v>
      </c>
      <c r="F16" s="9">
        <v>800</v>
      </c>
      <c r="G16" s="12">
        <v>0</v>
      </c>
      <c r="H16" s="9">
        <v>0</v>
      </c>
      <c r="I16" s="9">
        <v>220</v>
      </c>
      <c r="J16" s="9"/>
      <c r="K16" s="67">
        <f t="shared" si="0"/>
        <v>220</v>
      </c>
      <c r="L16" s="68">
        <f t="shared" si="1"/>
        <v>1</v>
      </c>
      <c r="M16" s="39">
        <v>800</v>
      </c>
      <c r="N16">
        <v>30</v>
      </c>
    </row>
    <row r="17" spans="2:17" ht="15.6" customHeight="1" x14ac:dyDescent="0.25">
      <c r="B17" s="57">
        <f t="shared" si="2"/>
        <v>14</v>
      </c>
      <c r="C17" s="7" t="s">
        <v>24</v>
      </c>
      <c r="D17" s="43">
        <v>450</v>
      </c>
      <c r="E17" s="9">
        <v>720</v>
      </c>
      <c r="F17" s="9">
        <v>2880</v>
      </c>
      <c r="G17" s="12">
        <v>0</v>
      </c>
      <c r="H17" s="9">
        <v>720</v>
      </c>
      <c r="I17" s="9">
        <v>0</v>
      </c>
      <c r="J17" s="9"/>
      <c r="K17" s="67">
        <f t="shared" si="0"/>
        <v>720</v>
      </c>
      <c r="L17" s="68">
        <f t="shared" si="1"/>
        <v>1</v>
      </c>
      <c r="M17" s="39">
        <v>2880</v>
      </c>
      <c r="N17">
        <v>4</v>
      </c>
    </row>
    <row r="18" spans="2:17" ht="15.6" customHeight="1" x14ac:dyDescent="0.25">
      <c r="B18" s="57">
        <f t="shared" si="2"/>
        <v>15</v>
      </c>
      <c r="C18" s="7" t="s">
        <v>25</v>
      </c>
      <c r="D18" s="43"/>
      <c r="E18" s="9">
        <v>0</v>
      </c>
      <c r="F18" s="9">
        <v>0</v>
      </c>
      <c r="G18" s="9"/>
      <c r="H18" s="9"/>
      <c r="I18" s="9"/>
      <c r="J18" s="9"/>
      <c r="K18" s="67">
        <f t="shared" si="0"/>
        <v>0</v>
      </c>
      <c r="L18" s="68">
        <f t="shared" si="1"/>
        <v>0</v>
      </c>
      <c r="M18" s="46"/>
      <c r="N18">
        <v>1.5</v>
      </c>
    </row>
    <row r="19" spans="2:17" ht="15.6" customHeight="1" x14ac:dyDescent="0.25">
      <c r="B19" s="57">
        <f t="shared" si="2"/>
        <v>16</v>
      </c>
      <c r="C19" s="7" t="s">
        <v>26</v>
      </c>
      <c r="D19" s="43"/>
      <c r="E19" s="9">
        <v>0</v>
      </c>
      <c r="F19" s="9">
        <v>0</v>
      </c>
      <c r="G19" s="9"/>
      <c r="H19" s="9"/>
      <c r="I19" s="9"/>
      <c r="J19" s="9"/>
      <c r="K19" s="67">
        <f t="shared" si="0"/>
        <v>0</v>
      </c>
      <c r="L19" s="68">
        <f t="shared" si="1"/>
        <v>0</v>
      </c>
      <c r="M19" s="46"/>
      <c r="N19">
        <v>1</v>
      </c>
    </row>
    <row r="20" spans="2:17" ht="15.6" customHeight="1" x14ac:dyDescent="0.25">
      <c r="B20" s="57">
        <v>17</v>
      </c>
      <c r="C20" s="7" t="s">
        <v>47</v>
      </c>
      <c r="D20" s="8"/>
      <c r="E20" s="9">
        <v>0</v>
      </c>
      <c r="F20" s="9">
        <v>0</v>
      </c>
      <c r="G20" s="9"/>
      <c r="H20" s="9"/>
      <c r="I20" s="9"/>
      <c r="J20" s="9"/>
      <c r="K20" s="67">
        <f t="shared" si="0"/>
        <v>0</v>
      </c>
      <c r="L20" s="68">
        <f t="shared" si="1"/>
        <v>0</v>
      </c>
      <c r="M20" s="46"/>
      <c r="N20">
        <v>1.5</v>
      </c>
    </row>
    <row r="21" spans="2:17" ht="15.6" customHeight="1" x14ac:dyDescent="0.25">
      <c r="B21" s="57">
        <v>18</v>
      </c>
      <c r="C21" s="7" t="s">
        <v>27</v>
      </c>
      <c r="D21" s="8"/>
      <c r="E21" s="9">
        <v>0</v>
      </c>
      <c r="F21" s="9">
        <v>0</v>
      </c>
      <c r="G21" s="9"/>
      <c r="H21" s="9">
        <v>436</v>
      </c>
      <c r="I21" s="9">
        <v>50</v>
      </c>
      <c r="J21" s="9"/>
      <c r="K21" s="67">
        <f t="shared" si="0"/>
        <v>486</v>
      </c>
      <c r="L21" s="68">
        <f t="shared" si="1"/>
        <v>0</v>
      </c>
      <c r="M21" s="46">
        <f>K21</f>
        <v>486</v>
      </c>
      <c r="N21">
        <v>1</v>
      </c>
    </row>
    <row r="22" spans="2:17" ht="15.75" x14ac:dyDescent="0.25">
      <c r="B22" s="58"/>
      <c r="C22" s="18" t="s">
        <v>28</v>
      </c>
      <c r="D22" s="80">
        <f t="shared" ref="D22:F22" si="3">SUM(D4:D21)</f>
        <v>37875</v>
      </c>
      <c r="E22" s="81">
        <f t="shared" si="3"/>
        <v>31589</v>
      </c>
      <c r="F22" s="81">
        <f t="shared" si="3"/>
        <v>39919</v>
      </c>
      <c r="G22" s="20">
        <f t="shared" ref="G22:J22" si="4">SUM(G4:G20)</f>
        <v>8243</v>
      </c>
      <c r="H22" s="20">
        <f t="shared" si="4"/>
        <v>11922</v>
      </c>
      <c r="I22" s="20">
        <f t="shared" si="4"/>
        <v>10892</v>
      </c>
      <c r="J22" s="20">
        <f t="shared" si="4"/>
        <v>0</v>
      </c>
      <c r="K22" s="22">
        <f>SUM(K3:K20)</f>
        <v>31057</v>
      </c>
      <c r="L22" s="73">
        <f>K22/E22</f>
        <v>0.98315869448225646</v>
      </c>
      <c r="M22" s="59">
        <f>SUM(M4:M20)</f>
        <v>39338</v>
      </c>
      <c r="O22" s="28"/>
    </row>
    <row r="23" spans="2:17" ht="15.75" x14ac:dyDescent="0.25">
      <c r="B23" s="58"/>
      <c r="C23" s="21" t="s">
        <v>29</v>
      </c>
      <c r="D23" s="80"/>
      <c r="E23" s="81"/>
      <c r="F23" s="81"/>
      <c r="G23" s="20">
        <f>SUM(G4:G21)</f>
        <v>8243</v>
      </c>
      <c r="H23" s="20">
        <f>SUM(H4:H21)</f>
        <v>12358</v>
      </c>
      <c r="I23" s="20">
        <f>SUM(I4:I21)</f>
        <v>10942</v>
      </c>
      <c r="J23" s="20">
        <f>SUM(J4:J21)</f>
        <v>0</v>
      </c>
      <c r="K23" s="22">
        <f>SUM(K4:K21)</f>
        <v>31543</v>
      </c>
      <c r="L23" s="74">
        <f>K23/E22</f>
        <v>0.99854379689132289</v>
      </c>
      <c r="M23" s="59">
        <f>SUM(M4:M21)</f>
        <v>39824</v>
      </c>
      <c r="O23" s="40"/>
    </row>
    <row r="24" spans="2:17" ht="14.45" customHeight="1" x14ac:dyDescent="0.25">
      <c r="B24" s="60"/>
      <c r="C24" s="7" t="s">
        <v>30</v>
      </c>
      <c r="D24" s="82"/>
      <c r="E24" s="26">
        <v>13</v>
      </c>
      <c r="F24" s="26">
        <v>13</v>
      </c>
      <c r="G24" s="26">
        <v>3</v>
      </c>
      <c r="H24" s="26">
        <v>5</v>
      </c>
      <c r="I24" s="26">
        <v>5</v>
      </c>
      <c r="J24" s="26"/>
      <c r="K24" s="26">
        <f>G24+H24+I24+J24</f>
        <v>13</v>
      </c>
      <c r="L24" s="24"/>
      <c r="M24" s="61">
        <f>K24</f>
        <v>13</v>
      </c>
      <c r="Q24" s="41"/>
    </row>
    <row r="25" spans="2:17" ht="14.45" customHeight="1" x14ac:dyDescent="0.25">
      <c r="B25" s="60"/>
      <c r="C25" s="23" t="s">
        <v>55</v>
      </c>
      <c r="D25" s="83"/>
      <c r="E25" s="85">
        <f>E22/E24</f>
        <v>2429.9230769230771</v>
      </c>
      <c r="F25" s="85">
        <f>F22/F24</f>
        <v>3070.6923076923076</v>
      </c>
      <c r="G25" s="8">
        <f t="shared" ref="G25:K25" si="5">G22/G24</f>
        <v>2747.6666666666665</v>
      </c>
      <c r="H25" s="8">
        <f t="shared" si="5"/>
        <v>2384.4</v>
      </c>
      <c r="I25" s="8">
        <f t="shared" si="5"/>
        <v>2178.4</v>
      </c>
      <c r="J25" s="8" t="e">
        <f t="shared" si="5"/>
        <v>#DIV/0!</v>
      </c>
      <c r="K25" s="26">
        <f t="shared" si="5"/>
        <v>2389</v>
      </c>
      <c r="L25" s="24"/>
      <c r="M25" s="62">
        <f>M22/M24</f>
        <v>3026</v>
      </c>
      <c r="O25" s="40"/>
    </row>
    <row r="26" spans="2:17" ht="15.75" thickBot="1" x14ac:dyDescent="0.3">
      <c r="B26" s="63"/>
      <c r="C26" s="64" t="s">
        <v>56</v>
      </c>
      <c r="D26" s="84"/>
      <c r="E26" s="86"/>
      <c r="F26" s="86"/>
      <c r="G26" s="65">
        <f>G23/G24</f>
        <v>2747.6666666666665</v>
      </c>
      <c r="H26" s="65">
        <f t="shared" ref="H26:J26" si="6">H23/H24</f>
        <v>2471.6</v>
      </c>
      <c r="I26" s="65">
        <f t="shared" si="6"/>
        <v>2188.4</v>
      </c>
      <c r="J26" s="65" t="e">
        <f t="shared" si="6"/>
        <v>#DIV/0!</v>
      </c>
      <c r="K26" s="65">
        <f>K23/K24</f>
        <v>2426.3846153846152</v>
      </c>
      <c r="L26" s="64"/>
      <c r="M26" s="66">
        <f>M23/M24</f>
        <v>3063.3846153846152</v>
      </c>
    </row>
  </sheetData>
  <mergeCells count="6">
    <mergeCell ref="D22:D23"/>
    <mergeCell ref="E22:E23"/>
    <mergeCell ref="F22:F23"/>
    <mergeCell ref="D24:D26"/>
    <mergeCell ref="E25:E26"/>
    <mergeCell ref="F25:F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D81D6-85A0-47EA-984C-9F1767D6376A}">
  <dimension ref="B2:R28"/>
  <sheetViews>
    <sheetView zoomScale="85" zoomScaleNormal="85" workbookViewId="0">
      <selection activeCell="Q20" sqref="Q20"/>
    </sheetView>
  </sheetViews>
  <sheetFormatPr defaultRowHeight="15" x14ac:dyDescent="0.25"/>
  <cols>
    <col min="2" max="2" width="7.7109375" customWidth="1"/>
    <col min="3" max="3" width="38.85546875" bestFit="1" customWidth="1"/>
    <col min="4" max="4" width="11.7109375" customWidth="1"/>
    <col min="5" max="5" width="11.42578125" customWidth="1"/>
    <col min="6" max="10" width="11.42578125" hidden="1" customWidth="1"/>
    <col min="11" max="13" width="11.42578125" customWidth="1"/>
    <col min="14" max="14" width="9.140625" hidden="1" customWidth="1"/>
    <col min="15" max="15" width="9.5703125" customWidth="1"/>
    <col min="16" max="16" width="27.5703125" customWidth="1"/>
    <col min="17" max="18" width="9.140625" style="75"/>
  </cols>
  <sheetData>
    <row r="2" spans="2:16" ht="19.5" thickBot="1" x14ac:dyDescent="0.35">
      <c r="C2" s="1" t="s">
        <v>78</v>
      </c>
    </row>
    <row r="3" spans="2:16" ht="15.75" x14ac:dyDescent="0.25">
      <c r="B3" s="49" t="s">
        <v>0</v>
      </c>
      <c r="C3" s="50" t="s">
        <v>1</v>
      </c>
      <c r="D3" s="51" t="s">
        <v>79</v>
      </c>
      <c r="E3" s="52" t="s">
        <v>80</v>
      </c>
      <c r="F3" s="53" t="s">
        <v>81</v>
      </c>
      <c r="G3" s="53" t="s">
        <v>4</v>
      </c>
      <c r="H3" s="53" t="s">
        <v>5</v>
      </c>
      <c r="I3" s="53" t="s">
        <v>6</v>
      </c>
      <c r="J3" s="53" t="s">
        <v>7</v>
      </c>
      <c r="K3" s="54" t="s">
        <v>82</v>
      </c>
      <c r="L3" s="54" t="s">
        <v>9</v>
      </c>
      <c r="M3" s="55" t="s">
        <v>10</v>
      </c>
    </row>
    <row r="4" spans="2:16" x14ac:dyDescent="0.25">
      <c r="B4" s="56">
        <v>1</v>
      </c>
      <c r="C4" s="7" t="s">
        <v>11</v>
      </c>
      <c r="D4" s="43">
        <v>2710</v>
      </c>
      <c r="E4" s="9">
        <v>3640</v>
      </c>
      <c r="F4" s="9">
        <f>(3600*1.5)+40</f>
        <v>5440</v>
      </c>
      <c r="G4" s="45">
        <v>1555</v>
      </c>
      <c r="H4" s="9">
        <v>945</v>
      </c>
      <c r="I4" s="9">
        <v>1160</v>
      </c>
      <c r="J4" s="9"/>
      <c r="K4" s="67">
        <f t="shared" ref="K4:K21" si="0">G4+H4+I4+J4</f>
        <v>3660</v>
      </c>
      <c r="L4" s="68">
        <f t="shared" ref="L4:L21" si="1">IFERROR(K4/E4,0)</f>
        <v>1.0054945054945055</v>
      </c>
      <c r="M4" s="46">
        <v>5475</v>
      </c>
      <c r="N4">
        <v>1.5</v>
      </c>
      <c r="O4" s="44"/>
    </row>
    <row r="5" spans="2:16" x14ac:dyDescent="0.25">
      <c r="B5" s="56">
        <f>B4+1</f>
        <v>2</v>
      </c>
      <c r="C5" s="7" t="s">
        <v>12</v>
      </c>
      <c r="D5" s="43">
        <v>3024</v>
      </c>
      <c r="E5" s="9">
        <v>1848</v>
      </c>
      <c r="F5" s="9">
        <f t="shared" ref="F5:F21" si="2">N5*E5</f>
        <v>2772</v>
      </c>
      <c r="G5" s="12">
        <v>1021</v>
      </c>
      <c r="H5" s="9">
        <v>827</v>
      </c>
      <c r="I5" s="9">
        <v>0</v>
      </c>
      <c r="J5" s="9"/>
      <c r="K5" s="67">
        <f t="shared" si="0"/>
        <v>1848</v>
      </c>
      <c r="L5" s="68">
        <f t="shared" si="1"/>
        <v>1</v>
      </c>
      <c r="M5" s="46">
        <v>2772</v>
      </c>
      <c r="N5">
        <v>1.5</v>
      </c>
    </row>
    <row r="6" spans="2:16" ht="15.6" customHeight="1" x14ac:dyDescent="0.25">
      <c r="B6" s="56">
        <f t="shared" ref="B6:B19" si="3">B5+1</f>
        <v>3</v>
      </c>
      <c r="C6" s="7" t="s">
        <v>13</v>
      </c>
      <c r="D6" s="43">
        <v>6311</v>
      </c>
      <c r="E6" s="9">
        <v>3050</v>
      </c>
      <c r="F6" s="9">
        <f t="shared" si="2"/>
        <v>1830</v>
      </c>
      <c r="G6" s="12">
        <v>3</v>
      </c>
      <c r="H6" s="9">
        <v>0</v>
      </c>
      <c r="I6" s="9">
        <v>3050</v>
      </c>
      <c r="J6" s="9"/>
      <c r="K6" s="67">
        <v>3051</v>
      </c>
      <c r="L6" s="68">
        <f t="shared" si="1"/>
        <v>1.0003278688524591</v>
      </c>
      <c r="M6" s="46">
        <v>1831</v>
      </c>
      <c r="N6">
        <v>0.6</v>
      </c>
      <c r="O6" s="28"/>
    </row>
    <row r="7" spans="2:16" ht="15.6" customHeight="1" x14ac:dyDescent="0.25">
      <c r="B7" s="57">
        <f t="shared" si="3"/>
        <v>4</v>
      </c>
      <c r="C7" s="7" t="s">
        <v>14</v>
      </c>
      <c r="D7" s="43">
        <v>6275</v>
      </c>
      <c r="E7" s="9">
        <v>3000</v>
      </c>
      <c r="F7" s="9">
        <f t="shared" si="2"/>
        <v>2250</v>
      </c>
      <c r="G7" s="12">
        <v>2</v>
      </c>
      <c r="H7" s="9">
        <v>1900</v>
      </c>
      <c r="I7" s="9">
        <v>1100</v>
      </c>
      <c r="J7" s="9"/>
      <c r="K7" s="67">
        <v>3000</v>
      </c>
      <c r="L7" s="68">
        <f t="shared" si="1"/>
        <v>1</v>
      </c>
      <c r="M7" s="46">
        <v>2250</v>
      </c>
      <c r="N7">
        <v>0.75</v>
      </c>
      <c r="O7" s="28"/>
    </row>
    <row r="8" spans="2:16" ht="15.6" customHeight="1" x14ac:dyDescent="0.25">
      <c r="B8" s="57">
        <f t="shared" si="3"/>
        <v>5</v>
      </c>
      <c r="C8" s="7" t="s">
        <v>15</v>
      </c>
      <c r="D8" s="43">
        <v>1779</v>
      </c>
      <c r="E8" s="9">
        <f>1122+120</f>
        <v>1242</v>
      </c>
      <c r="F8" s="9">
        <f t="shared" si="2"/>
        <v>1863</v>
      </c>
      <c r="G8" s="12">
        <v>312</v>
      </c>
      <c r="H8" s="9">
        <v>580</v>
      </c>
      <c r="I8" s="9">
        <v>350</v>
      </c>
      <c r="J8" s="9"/>
      <c r="K8" s="67">
        <f t="shared" si="0"/>
        <v>1242</v>
      </c>
      <c r="L8" s="68">
        <f t="shared" si="1"/>
        <v>1</v>
      </c>
      <c r="M8" s="46">
        <v>1863</v>
      </c>
      <c r="N8">
        <v>1.5</v>
      </c>
    </row>
    <row r="9" spans="2:16" ht="15.6" customHeight="1" x14ac:dyDescent="0.25">
      <c r="B9" s="57">
        <f t="shared" si="3"/>
        <v>6</v>
      </c>
      <c r="C9" s="7" t="s">
        <v>16</v>
      </c>
      <c r="D9" s="43">
        <v>7338</v>
      </c>
      <c r="E9" s="9">
        <f>7774+700</f>
        <v>8474</v>
      </c>
      <c r="F9" s="9">
        <f t="shared" si="2"/>
        <v>8474</v>
      </c>
      <c r="G9" s="12">
        <v>3914</v>
      </c>
      <c r="H9" s="9">
        <v>2012</v>
      </c>
      <c r="I9" s="9">
        <v>2640</v>
      </c>
      <c r="J9" s="9"/>
      <c r="K9" s="67">
        <f t="shared" si="0"/>
        <v>8566</v>
      </c>
      <c r="L9" s="68">
        <f t="shared" si="1"/>
        <v>1.0108567382582017</v>
      </c>
      <c r="M9" s="46">
        <v>8566</v>
      </c>
      <c r="N9">
        <v>1</v>
      </c>
      <c r="O9" s="28"/>
    </row>
    <row r="10" spans="2:16" ht="15.6" customHeight="1" x14ac:dyDescent="0.25">
      <c r="B10" s="57">
        <f t="shared" si="3"/>
        <v>7</v>
      </c>
      <c r="C10" s="7" t="s">
        <v>17</v>
      </c>
      <c r="D10" s="43">
        <v>1804</v>
      </c>
      <c r="E10" s="9">
        <v>1153</v>
      </c>
      <c r="F10" s="9">
        <f t="shared" si="2"/>
        <v>1729.5</v>
      </c>
      <c r="G10" s="12">
        <v>498</v>
      </c>
      <c r="H10" s="9">
        <v>317</v>
      </c>
      <c r="I10" s="9">
        <v>352</v>
      </c>
      <c r="J10" s="9"/>
      <c r="K10" s="67">
        <v>1156</v>
      </c>
      <c r="L10" s="68">
        <f t="shared" si="1"/>
        <v>1.002601908065915</v>
      </c>
      <c r="M10" s="46">
        <v>1734</v>
      </c>
      <c r="N10">
        <v>1.5</v>
      </c>
      <c r="P10" s="28"/>
    </row>
    <row r="11" spans="2:16" ht="15.6" customHeight="1" x14ac:dyDescent="0.25">
      <c r="B11" s="57">
        <f t="shared" si="3"/>
        <v>8</v>
      </c>
      <c r="C11" s="7" t="s">
        <v>18</v>
      </c>
      <c r="D11" s="27"/>
      <c r="E11" s="9"/>
      <c r="F11" s="9">
        <f t="shared" si="2"/>
        <v>0</v>
      </c>
      <c r="G11" s="12">
        <v>0</v>
      </c>
      <c r="H11" s="9">
        <v>0</v>
      </c>
      <c r="I11" s="9">
        <v>0</v>
      </c>
      <c r="J11" s="9"/>
      <c r="K11" s="67">
        <f t="shared" si="0"/>
        <v>0</v>
      </c>
      <c r="L11" s="68">
        <f t="shared" si="1"/>
        <v>0</v>
      </c>
      <c r="M11" s="46" t="s">
        <v>95</v>
      </c>
      <c r="N11">
        <v>1.5</v>
      </c>
    </row>
    <row r="12" spans="2:16" ht="15.6" customHeight="1" x14ac:dyDescent="0.25">
      <c r="B12" s="57">
        <f t="shared" si="3"/>
        <v>9</v>
      </c>
      <c r="C12" s="7" t="s">
        <v>19</v>
      </c>
      <c r="D12" s="27">
        <v>30</v>
      </c>
      <c r="E12" s="9"/>
      <c r="F12" s="9">
        <f t="shared" si="2"/>
        <v>0</v>
      </c>
      <c r="G12" s="12">
        <v>0</v>
      </c>
      <c r="H12" s="9">
        <v>0</v>
      </c>
      <c r="I12" s="9">
        <v>0</v>
      </c>
      <c r="J12" s="9"/>
      <c r="K12" s="67">
        <f t="shared" si="0"/>
        <v>0</v>
      </c>
      <c r="L12" s="68">
        <f t="shared" si="1"/>
        <v>0</v>
      </c>
      <c r="M12" s="46" t="s">
        <v>95</v>
      </c>
      <c r="N12">
        <v>1.5</v>
      </c>
    </row>
    <row r="13" spans="2:16" ht="15.6" customHeight="1" x14ac:dyDescent="0.25">
      <c r="B13" s="57">
        <f t="shared" si="3"/>
        <v>10</v>
      </c>
      <c r="C13" s="7" t="s">
        <v>20</v>
      </c>
      <c r="D13" s="27">
        <v>5593</v>
      </c>
      <c r="E13" s="9">
        <v>3335</v>
      </c>
      <c r="F13" s="9">
        <f t="shared" si="2"/>
        <v>5002.5</v>
      </c>
      <c r="G13" s="12">
        <v>540</v>
      </c>
      <c r="H13" s="9">
        <v>1442</v>
      </c>
      <c r="I13" s="9">
        <f>1413-10</f>
        <v>1403</v>
      </c>
      <c r="J13" s="9"/>
      <c r="K13" s="67">
        <f t="shared" si="0"/>
        <v>3385</v>
      </c>
      <c r="L13" s="76">
        <f t="shared" si="1"/>
        <v>1.014992503748126</v>
      </c>
      <c r="M13" s="46">
        <v>5078</v>
      </c>
      <c r="N13">
        <v>1.5</v>
      </c>
      <c r="O13" s="28"/>
    </row>
    <row r="14" spans="2:16" ht="15.6" customHeight="1" x14ac:dyDescent="0.25">
      <c r="B14" s="57">
        <f t="shared" si="3"/>
        <v>11</v>
      </c>
      <c r="C14" s="7" t="s">
        <v>48</v>
      </c>
      <c r="D14" s="43">
        <v>1800</v>
      </c>
      <c r="E14" s="9">
        <v>966</v>
      </c>
      <c r="F14" s="9">
        <f t="shared" si="2"/>
        <v>1449</v>
      </c>
      <c r="G14" s="12">
        <v>836</v>
      </c>
      <c r="H14" s="9">
        <v>38</v>
      </c>
      <c r="I14" s="9">
        <v>540</v>
      </c>
      <c r="J14" s="9"/>
      <c r="K14" s="67">
        <f t="shared" si="0"/>
        <v>1414</v>
      </c>
      <c r="L14" s="76">
        <f t="shared" si="1"/>
        <v>1.463768115942029</v>
      </c>
      <c r="M14" s="46">
        <v>2121</v>
      </c>
      <c r="N14">
        <v>1.5</v>
      </c>
    </row>
    <row r="15" spans="2:16" ht="15.6" customHeight="1" x14ac:dyDescent="0.25">
      <c r="B15" s="57">
        <f t="shared" si="3"/>
        <v>12</v>
      </c>
      <c r="C15" s="7" t="s">
        <v>22</v>
      </c>
      <c r="D15" s="43">
        <v>1312</v>
      </c>
      <c r="E15" s="9"/>
      <c r="F15" s="9">
        <f t="shared" si="2"/>
        <v>0</v>
      </c>
      <c r="G15" s="12">
        <v>120</v>
      </c>
      <c r="H15" s="9">
        <v>0</v>
      </c>
      <c r="I15" s="9">
        <v>2</v>
      </c>
      <c r="J15" s="9"/>
      <c r="K15" s="67">
        <f t="shared" si="0"/>
        <v>122</v>
      </c>
      <c r="L15" s="68">
        <f t="shared" si="1"/>
        <v>0</v>
      </c>
      <c r="M15" s="46">
        <v>122</v>
      </c>
      <c r="N15">
        <v>1</v>
      </c>
    </row>
    <row r="16" spans="2:16" ht="15.6" customHeight="1" x14ac:dyDescent="0.25">
      <c r="B16" s="57">
        <f t="shared" si="3"/>
        <v>13</v>
      </c>
      <c r="C16" s="7" t="s">
        <v>23</v>
      </c>
      <c r="D16" s="43">
        <v>180</v>
      </c>
      <c r="E16" s="9">
        <f>28+30</f>
        <v>58</v>
      </c>
      <c r="F16" s="9">
        <f>(21*20)+7+(30*30)</f>
        <v>1327</v>
      </c>
      <c r="G16" s="12">
        <v>0</v>
      </c>
      <c r="H16" s="9">
        <v>0</v>
      </c>
      <c r="I16" s="9">
        <v>58</v>
      </c>
      <c r="J16" s="9"/>
      <c r="K16" s="67">
        <f t="shared" si="0"/>
        <v>58</v>
      </c>
      <c r="L16" s="68">
        <f t="shared" si="1"/>
        <v>1</v>
      </c>
      <c r="M16" s="39">
        <v>1327</v>
      </c>
      <c r="N16">
        <v>30</v>
      </c>
    </row>
    <row r="17" spans="2:17" ht="15.6" customHeight="1" x14ac:dyDescent="0.25">
      <c r="B17" s="57">
        <f t="shared" si="3"/>
        <v>14</v>
      </c>
      <c r="C17" s="7" t="s">
        <v>24</v>
      </c>
      <c r="D17" s="43">
        <v>950</v>
      </c>
      <c r="E17" s="9"/>
      <c r="F17" s="9">
        <f t="shared" si="2"/>
        <v>0</v>
      </c>
      <c r="G17" s="12">
        <v>0</v>
      </c>
      <c r="H17" s="9">
        <v>0</v>
      </c>
      <c r="I17" s="9">
        <v>0</v>
      </c>
      <c r="J17" s="9"/>
      <c r="K17" s="67">
        <v>19</v>
      </c>
      <c r="L17" s="68">
        <f t="shared" si="1"/>
        <v>0</v>
      </c>
      <c r="M17" s="39">
        <v>19</v>
      </c>
      <c r="N17">
        <v>4</v>
      </c>
    </row>
    <row r="18" spans="2:17" ht="15.6" customHeight="1" x14ac:dyDescent="0.25">
      <c r="B18" s="57">
        <f t="shared" si="3"/>
        <v>15</v>
      </c>
      <c r="C18" s="7" t="s">
        <v>25</v>
      </c>
      <c r="D18" s="43"/>
      <c r="E18" s="9"/>
      <c r="F18" s="9">
        <f t="shared" si="2"/>
        <v>0</v>
      </c>
      <c r="G18" s="9"/>
      <c r="H18" s="9"/>
      <c r="I18" s="9"/>
      <c r="J18" s="9"/>
      <c r="K18" s="67">
        <f t="shared" si="0"/>
        <v>0</v>
      </c>
      <c r="L18" s="68">
        <f t="shared" si="1"/>
        <v>0</v>
      </c>
      <c r="M18" s="39">
        <v>0</v>
      </c>
      <c r="N18">
        <v>1.5</v>
      </c>
    </row>
    <row r="19" spans="2:17" ht="15.6" customHeight="1" x14ac:dyDescent="0.25">
      <c r="B19" s="57">
        <f t="shared" si="3"/>
        <v>16</v>
      </c>
      <c r="C19" s="7" t="s">
        <v>26</v>
      </c>
      <c r="D19" s="43"/>
      <c r="E19" s="9"/>
      <c r="F19" s="9">
        <f t="shared" si="2"/>
        <v>0</v>
      </c>
      <c r="G19" s="9"/>
      <c r="H19" s="9"/>
      <c r="I19" s="9"/>
      <c r="J19" s="9"/>
      <c r="K19" s="67">
        <f t="shared" si="0"/>
        <v>0</v>
      </c>
      <c r="L19" s="68">
        <f t="shared" si="1"/>
        <v>0</v>
      </c>
      <c r="M19" s="46">
        <v>0</v>
      </c>
      <c r="N19">
        <v>1</v>
      </c>
    </row>
    <row r="20" spans="2:17" ht="15.6" customHeight="1" x14ac:dyDescent="0.25">
      <c r="B20" s="57">
        <v>17</v>
      </c>
      <c r="C20" s="7" t="s">
        <v>47</v>
      </c>
      <c r="D20" s="8"/>
      <c r="E20" s="9"/>
      <c r="F20" s="9">
        <f t="shared" si="2"/>
        <v>0</v>
      </c>
      <c r="G20" s="9"/>
      <c r="H20" s="9">
        <v>97</v>
      </c>
      <c r="I20" s="9">
        <v>150</v>
      </c>
      <c r="J20" s="9"/>
      <c r="K20" s="67"/>
      <c r="L20" s="76">
        <f t="shared" si="1"/>
        <v>0</v>
      </c>
      <c r="M20" s="46"/>
      <c r="N20">
        <v>1.5</v>
      </c>
    </row>
    <row r="21" spans="2:17" ht="15.6" customHeight="1" x14ac:dyDescent="0.25">
      <c r="B21" s="57">
        <v>18</v>
      </c>
      <c r="C21" s="7" t="s">
        <v>27</v>
      </c>
      <c r="D21" s="8"/>
      <c r="E21" s="9"/>
      <c r="F21" s="9">
        <f t="shared" si="2"/>
        <v>0</v>
      </c>
      <c r="G21" s="9">
        <f>7664+10</f>
        <v>7674</v>
      </c>
      <c r="H21" s="9">
        <v>535</v>
      </c>
      <c r="I21" s="9"/>
      <c r="J21" s="9"/>
      <c r="K21" s="67">
        <f t="shared" si="0"/>
        <v>8209</v>
      </c>
      <c r="L21" s="68">
        <f t="shared" si="1"/>
        <v>0</v>
      </c>
      <c r="M21" s="46">
        <f t="shared" ref="M21" si="4">N21*K21</f>
        <v>8209</v>
      </c>
      <c r="N21">
        <v>1</v>
      </c>
    </row>
    <row r="22" spans="2:17" ht="15.75" x14ac:dyDescent="0.25">
      <c r="B22" s="58"/>
      <c r="C22" s="18" t="s">
        <v>28</v>
      </c>
      <c r="D22" s="80">
        <f t="shared" ref="D22:E22" si="5">SUM(D4:D21)</f>
        <v>39106</v>
      </c>
      <c r="E22" s="81">
        <f t="shared" si="5"/>
        <v>26766</v>
      </c>
      <c r="F22" s="81">
        <f>SUM(F4:F21)</f>
        <v>32137</v>
      </c>
      <c r="G22" s="20">
        <f t="shared" ref="G22:J22" si="6">SUM(G4:G20)</f>
        <v>8801</v>
      </c>
      <c r="H22" s="20">
        <f t="shared" si="6"/>
        <v>8158</v>
      </c>
      <c r="I22" s="20">
        <f t="shared" si="6"/>
        <v>10805</v>
      </c>
      <c r="J22" s="20">
        <f t="shared" si="6"/>
        <v>0</v>
      </c>
      <c r="K22" s="22">
        <f>SUM(K3:K20)</f>
        <v>27521</v>
      </c>
      <c r="L22" s="73">
        <f>K22/E22</f>
        <v>1.0282074273331838</v>
      </c>
      <c r="M22" s="59">
        <f>SUM(M4:M20)</f>
        <v>33158</v>
      </c>
      <c r="O22" s="28"/>
    </row>
    <row r="23" spans="2:17" ht="15.75" x14ac:dyDescent="0.25">
      <c r="B23" s="58"/>
      <c r="C23" s="21" t="s">
        <v>29</v>
      </c>
      <c r="D23" s="80"/>
      <c r="E23" s="81"/>
      <c r="F23" s="81"/>
      <c r="G23" s="20">
        <f>SUM(G4:G21)</f>
        <v>16475</v>
      </c>
      <c r="H23" s="20">
        <f>SUM(H4:H21)</f>
        <v>8693</v>
      </c>
      <c r="I23" s="20">
        <f>SUM(I4:I21)</f>
        <v>10805</v>
      </c>
      <c r="J23" s="20">
        <f>SUM(J4:J21)</f>
        <v>0</v>
      </c>
      <c r="K23" s="22">
        <f>SUM(K4:K21)</f>
        <v>35730</v>
      </c>
      <c r="L23" s="74">
        <f>K23/E22</f>
        <v>1.3349024882313383</v>
      </c>
      <c r="M23" s="59">
        <f>SUM(M4:M21)</f>
        <v>41367</v>
      </c>
      <c r="O23" s="40"/>
    </row>
    <row r="24" spans="2:17" ht="15.75" x14ac:dyDescent="0.25">
      <c r="B24" s="60"/>
      <c r="C24" s="7" t="s">
        <v>30</v>
      </c>
      <c r="D24" s="82"/>
      <c r="E24" s="26">
        <v>12</v>
      </c>
      <c r="F24" s="26">
        <v>12</v>
      </c>
      <c r="G24" s="26">
        <v>4</v>
      </c>
      <c r="H24" s="26">
        <v>4</v>
      </c>
      <c r="I24" s="26">
        <v>4</v>
      </c>
      <c r="J24" s="26"/>
      <c r="K24" s="26">
        <f>G24+H24+I24+J24</f>
        <v>12</v>
      </c>
      <c r="L24" s="24"/>
      <c r="M24" s="62">
        <f>K24</f>
        <v>12</v>
      </c>
      <c r="Q24" s="77"/>
    </row>
    <row r="25" spans="2:17" ht="15.75" x14ac:dyDescent="0.25">
      <c r="B25" s="60"/>
      <c r="C25" s="23" t="s">
        <v>55</v>
      </c>
      <c r="D25" s="83"/>
      <c r="E25" s="85">
        <f>E22/E24</f>
        <v>2230.5</v>
      </c>
      <c r="F25" s="85">
        <f>F22/F24</f>
        <v>2678.0833333333335</v>
      </c>
      <c r="G25" s="8">
        <f t="shared" ref="G25:K25" si="7">G22/G24</f>
        <v>2200.25</v>
      </c>
      <c r="H25" s="8">
        <f t="shared" si="7"/>
        <v>2039.5</v>
      </c>
      <c r="I25" s="8">
        <f t="shared" si="7"/>
        <v>2701.25</v>
      </c>
      <c r="J25" s="8" t="e">
        <f t="shared" si="7"/>
        <v>#DIV/0!</v>
      </c>
      <c r="K25" s="26">
        <f t="shared" si="7"/>
        <v>2293.4166666666665</v>
      </c>
      <c r="L25" s="24"/>
      <c r="M25" s="62">
        <f>M22/M24</f>
        <v>2763.1666666666665</v>
      </c>
      <c r="O25" s="40"/>
    </row>
    <row r="26" spans="2:17" ht="15.75" thickBot="1" x14ac:dyDescent="0.3">
      <c r="B26" s="63"/>
      <c r="C26" s="64" t="s">
        <v>56</v>
      </c>
      <c r="D26" s="84"/>
      <c r="E26" s="86"/>
      <c r="F26" s="86"/>
      <c r="G26" s="65">
        <f>G23/G24</f>
        <v>4118.75</v>
      </c>
      <c r="H26" s="65">
        <f t="shared" ref="H26:J26" si="8">H23/H24</f>
        <v>2173.25</v>
      </c>
      <c r="I26" s="65">
        <f t="shared" si="8"/>
        <v>2701.25</v>
      </c>
      <c r="J26" s="65" t="e">
        <f t="shared" si="8"/>
        <v>#DIV/0!</v>
      </c>
      <c r="K26" s="65">
        <f>K23/K24</f>
        <v>2977.5</v>
      </c>
      <c r="L26" s="64"/>
      <c r="M26" s="66">
        <f>M23/M24</f>
        <v>3447.25</v>
      </c>
    </row>
    <row r="27" spans="2:17" x14ac:dyDescent="0.25">
      <c r="F27" s="42"/>
    </row>
    <row r="28" spans="2:17" x14ac:dyDescent="0.25">
      <c r="E28" s="41"/>
      <c r="F28" s="40"/>
    </row>
  </sheetData>
  <mergeCells count="6">
    <mergeCell ref="D22:D23"/>
    <mergeCell ref="E22:E23"/>
    <mergeCell ref="F22:F23"/>
    <mergeCell ref="D24:D26"/>
    <mergeCell ref="E25:E26"/>
    <mergeCell ref="F25:F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ABE1F-8E62-4523-9094-536246D020E9}">
  <dimension ref="B2:R29"/>
  <sheetViews>
    <sheetView zoomScale="85" zoomScaleNormal="85" workbookViewId="0">
      <selection activeCell="F4" sqref="F4"/>
    </sheetView>
  </sheetViews>
  <sheetFormatPr defaultRowHeight="15" x14ac:dyDescent="0.25"/>
  <cols>
    <col min="2" max="2" width="7.7109375" customWidth="1"/>
    <col min="3" max="3" width="38.85546875" bestFit="1" customWidth="1"/>
    <col min="4" max="4" width="11.7109375" customWidth="1"/>
    <col min="5" max="6" width="11.42578125" customWidth="1"/>
    <col min="7" max="10" width="11.42578125" hidden="1" customWidth="1"/>
    <col min="11" max="13" width="11.42578125" customWidth="1"/>
    <col min="14" max="14" width="9.140625" hidden="1" customWidth="1"/>
    <col min="15" max="15" width="8.7109375" customWidth="1"/>
    <col min="16" max="17" width="0" style="75" hidden="1" customWidth="1"/>
    <col min="18" max="18" width="0" hidden="1" customWidth="1"/>
  </cols>
  <sheetData>
    <row r="2" spans="2:18" ht="19.5" thickBot="1" x14ac:dyDescent="0.35">
      <c r="C2" s="1" t="s">
        <v>83</v>
      </c>
    </row>
    <row r="3" spans="2:18" ht="15.75" x14ac:dyDescent="0.25">
      <c r="B3" s="49" t="s">
        <v>0</v>
      </c>
      <c r="C3" s="50" t="s">
        <v>1</v>
      </c>
      <c r="D3" s="51" t="s">
        <v>84</v>
      </c>
      <c r="E3" s="52" t="s">
        <v>85</v>
      </c>
      <c r="F3" s="53" t="s">
        <v>86</v>
      </c>
      <c r="G3" s="53" t="s">
        <v>4</v>
      </c>
      <c r="H3" s="53" t="s">
        <v>5</v>
      </c>
      <c r="I3" s="53" t="s">
        <v>6</v>
      </c>
      <c r="J3" s="53" t="s">
        <v>7</v>
      </c>
      <c r="K3" s="54" t="s">
        <v>87</v>
      </c>
      <c r="L3" s="54" t="s">
        <v>9</v>
      </c>
      <c r="M3" s="55" t="s">
        <v>10</v>
      </c>
    </row>
    <row r="4" spans="2:18" x14ac:dyDescent="0.25">
      <c r="B4" s="56">
        <v>1</v>
      </c>
      <c r="C4" s="7" t="s">
        <v>11</v>
      </c>
      <c r="D4" s="43">
        <v>2710</v>
      </c>
      <c r="E4" s="9">
        <v>3625</v>
      </c>
      <c r="F4" s="9">
        <f>(3565*1.5)+60</f>
        <v>5407.5</v>
      </c>
      <c r="G4" s="45">
        <v>1385</v>
      </c>
      <c r="H4" s="9">
        <v>1300</v>
      </c>
      <c r="I4" s="9">
        <v>940</v>
      </c>
      <c r="J4" s="9">
        <v>0</v>
      </c>
      <c r="K4" s="67">
        <f t="shared" ref="K4:K21" si="0">G4+H4+I4+J4</f>
        <v>3625</v>
      </c>
      <c r="L4" s="68">
        <f t="shared" ref="L4:L21" si="1">IFERROR(K4/E4,0)</f>
        <v>1</v>
      </c>
      <c r="M4" s="46">
        <v>5407.5</v>
      </c>
      <c r="N4">
        <v>1.5</v>
      </c>
    </row>
    <row r="5" spans="2:18" x14ac:dyDescent="0.25">
      <c r="B5" s="56">
        <f>B4+1</f>
        <v>2</v>
      </c>
      <c r="C5" s="7" t="s">
        <v>12</v>
      </c>
      <c r="D5" s="43">
        <v>3024</v>
      </c>
      <c r="E5" s="9">
        <v>2016</v>
      </c>
      <c r="F5" s="9">
        <f t="shared" ref="F5:F17" si="2">N5*E5</f>
        <v>3024</v>
      </c>
      <c r="G5" s="12">
        <v>748</v>
      </c>
      <c r="H5" s="9">
        <v>268</v>
      </c>
      <c r="I5" s="9">
        <v>804</v>
      </c>
      <c r="J5" s="9">
        <v>392</v>
      </c>
      <c r="K5" s="67">
        <f t="shared" si="0"/>
        <v>2212</v>
      </c>
      <c r="L5" s="68">
        <f t="shared" si="1"/>
        <v>1.0972222222222223</v>
      </c>
      <c r="M5" s="46">
        <v>3318</v>
      </c>
      <c r="N5">
        <v>1.5</v>
      </c>
    </row>
    <row r="6" spans="2:18" ht="15.6" customHeight="1" x14ac:dyDescent="0.25">
      <c r="B6" s="56">
        <f t="shared" ref="B6:B19" si="3">B5+1</f>
        <v>3</v>
      </c>
      <c r="C6" s="7" t="s">
        <v>13</v>
      </c>
      <c r="D6" s="43">
        <v>4621</v>
      </c>
      <c r="E6" s="9">
        <v>4050</v>
      </c>
      <c r="F6" s="9">
        <f t="shared" si="2"/>
        <v>2430</v>
      </c>
      <c r="G6" s="12">
        <v>1071</v>
      </c>
      <c r="H6" s="9">
        <v>1355</v>
      </c>
      <c r="I6" s="9">
        <v>714</v>
      </c>
      <c r="J6" s="9">
        <v>844</v>
      </c>
      <c r="K6" s="67">
        <f t="shared" si="0"/>
        <v>3984</v>
      </c>
      <c r="L6" s="68">
        <f t="shared" si="1"/>
        <v>0.98370370370370375</v>
      </c>
      <c r="M6" s="46">
        <v>2390.4</v>
      </c>
      <c r="N6">
        <v>0.6</v>
      </c>
    </row>
    <row r="7" spans="2:18" ht="15.6" customHeight="1" x14ac:dyDescent="0.25">
      <c r="B7" s="57">
        <f t="shared" si="3"/>
        <v>4</v>
      </c>
      <c r="C7" s="7" t="s">
        <v>14</v>
      </c>
      <c r="D7" s="43">
        <v>6342</v>
      </c>
      <c r="E7" s="9">
        <v>7915</v>
      </c>
      <c r="F7" s="9">
        <f t="shared" si="2"/>
        <v>5936.25</v>
      </c>
      <c r="G7" s="12">
        <v>316</v>
      </c>
      <c r="H7" s="9">
        <v>2361</v>
      </c>
      <c r="I7" s="9">
        <v>3602</v>
      </c>
      <c r="J7" s="9">
        <v>1636</v>
      </c>
      <c r="K7" s="67">
        <f t="shared" si="0"/>
        <v>7915</v>
      </c>
      <c r="L7" s="68">
        <f t="shared" si="1"/>
        <v>1</v>
      </c>
      <c r="M7" s="46">
        <v>5936.25</v>
      </c>
      <c r="N7">
        <v>0.75</v>
      </c>
      <c r="Q7" s="78">
        <f>824/3</f>
        <v>274.66666666666669</v>
      </c>
      <c r="R7">
        <v>824</v>
      </c>
    </row>
    <row r="8" spans="2:18" ht="15.6" customHeight="1" x14ac:dyDescent="0.25">
      <c r="B8" s="57">
        <f t="shared" si="3"/>
        <v>5</v>
      </c>
      <c r="C8" s="7" t="s">
        <v>15</v>
      </c>
      <c r="D8" s="43">
        <v>1787</v>
      </c>
      <c r="E8" s="9">
        <v>2328</v>
      </c>
      <c r="F8" s="9">
        <f t="shared" si="2"/>
        <v>3492</v>
      </c>
      <c r="G8" s="12">
        <v>300</v>
      </c>
      <c r="H8" s="9">
        <v>566</v>
      </c>
      <c r="I8" s="9">
        <v>1106</v>
      </c>
      <c r="J8" s="9">
        <v>357</v>
      </c>
      <c r="K8" s="67">
        <f t="shared" si="0"/>
        <v>2329</v>
      </c>
      <c r="L8" s="68">
        <f t="shared" si="1"/>
        <v>1.0004295532646048</v>
      </c>
      <c r="M8" s="46">
        <v>3493.5</v>
      </c>
      <c r="N8">
        <v>1.5</v>
      </c>
      <c r="Q8" s="75" t="s">
        <v>88</v>
      </c>
      <c r="R8">
        <f>89*4</f>
        <v>356</v>
      </c>
    </row>
    <row r="9" spans="2:18" ht="15.6" customHeight="1" x14ac:dyDescent="0.25">
      <c r="B9" s="57">
        <f t="shared" si="3"/>
        <v>6</v>
      </c>
      <c r="C9" s="7" t="s">
        <v>16</v>
      </c>
      <c r="D9" s="43">
        <v>8115</v>
      </c>
      <c r="E9" s="9">
        <v>12244</v>
      </c>
      <c r="F9" s="9">
        <f t="shared" si="2"/>
        <v>12244</v>
      </c>
      <c r="G9" s="12">
        <v>4120</v>
      </c>
      <c r="H9" s="9">
        <v>3390</v>
      </c>
      <c r="I9" s="9">
        <v>2700</v>
      </c>
      <c r="J9" s="9">
        <v>2034</v>
      </c>
      <c r="K9" s="67">
        <f t="shared" si="0"/>
        <v>12244</v>
      </c>
      <c r="L9" s="68">
        <f t="shared" si="1"/>
        <v>1</v>
      </c>
      <c r="M9" s="46">
        <v>12244</v>
      </c>
      <c r="N9">
        <v>1</v>
      </c>
      <c r="Q9" s="75" t="s">
        <v>89</v>
      </c>
      <c r="R9" s="42">
        <f>(R7-R8)/3</f>
        <v>156</v>
      </c>
    </row>
    <row r="10" spans="2:18" ht="15.6" customHeight="1" x14ac:dyDescent="0.25">
      <c r="B10" s="57">
        <f t="shared" si="3"/>
        <v>7</v>
      </c>
      <c r="C10" s="7" t="s">
        <v>17</v>
      </c>
      <c r="D10" s="43">
        <v>1545</v>
      </c>
      <c r="E10" s="9">
        <v>570</v>
      </c>
      <c r="F10" s="9">
        <f t="shared" si="2"/>
        <v>855</v>
      </c>
      <c r="G10" s="12">
        <v>3</v>
      </c>
      <c r="H10" s="9">
        <v>214</v>
      </c>
      <c r="I10" s="9">
        <v>463</v>
      </c>
      <c r="J10" s="9">
        <v>73</v>
      </c>
      <c r="K10" s="67">
        <f t="shared" si="0"/>
        <v>753</v>
      </c>
      <c r="L10" s="68">
        <f t="shared" si="1"/>
        <v>1.3210526315789475</v>
      </c>
      <c r="M10" s="46">
        <v>1129.5</v>
      </c>
      <c r="N10">
        <v>1.5</v>
      </c>
    </row>
    <row r="11" spans="2:18" ht="15.6" customHeight="1" x14ac:dyDescent="0.25">
      <c r="B11" s="57">
        <f t="shared" si="3"/>
        <v>8</v>
      </c>
      <c r="C11" s="7" t="s">
        <v>18</v>
      </c>
      <c r="D11" s="27"/>
      <c r="E11" s="9"/>
      <c r="F11" s="9">
        <f t="shared" si="2"/>
        <v>0</v>
      </c>
      <c r="G11" s="12">
        <v>0</v>
      </c>
      <c r="H11" s="9">
        <v>0</v>
      </c>
      <c r="I11" s="9">
        <v>0</v>
      </c>
      <c r="J11" s="9">
        <v>0</v>
      </c>
      <c r="K11" s="67">
        <f t="shared" si="0"/>
        <v>0</v>
      </c>
      <c r="L11" s="68">
        <f t="shared" si="1"/>
        <v>0</v>
      </c>
      <c r="M11" s="46">
        <v>0</v>
      </c>
      <c r="N11">
        <v>1.5</v>
      </c>
    </row>
    <row r="12" spans="2:18" ht="15.6" customHeight="1" x14ac:dyDescent="0.25">
      <c r="B12" s="57">
        <f t="shared" si="3"/>
        <v>9</v>
      </c>
      <c r="C12" s="7" t="s">
        <v>19</v>
      </c>
      <c r="D12" s="27"/>
      <c r="E12" s="9"/>
      <c r="F12" s="9">
        <f t="shared" si="2"/>
        <v>0</v>
      </c>
      <c r="G12" s="12">
        <v>10</v>
      </c>
      <c r="H12" s="9">
        <v>0</v>
      </c>
      <c r="I12" s="9">
        <v>0</v>
      </c>
      <c r="J12" s="9">
        <v>0</v>
      </c>
      <c r="K12" s="67">
        <f t="shared" si="0"/>
        <v>10</v>
      </c>
      <c r="L12" s="68">
        <f t="shared" si="1"/>
        <v>0</v>
      </c>
      <c r="M12" s="46">
        <v>15</v>
      </c>
      <c r="N12">
        <v>1.5</v>
      </c>
    </row>
    <row r="13" spans="2:18" ht="15.6" customHeight="1" x14ac:dyDescent="0.25">
      <c r="B13" s="57">
        <f t="shared" si="3"/>
        <v>10</v>
      </c>
      <c r="C13" s="7" t="s">
        <v>20</v>
      </c>
      <c r="D13" s="27">
        <v>6511</v>
      </c>
      <c r="E13" s="9">
        <v>1490</v>
      </c>
      <c r="F13" s="9">
        <f t="shared" si="2"/>
        <v>2235</v>
      </c>
      <c r="G13" s="12">
        <v>566</v>
      </c>
      <c r="H13" s="9">
        <v>472</v>
      </c>
      <c r="I13" s="9">
        <v>440</v>
      </c>
      <c r="J13" s="9">
        <v>200</v>
      </c>
      <c r="K13" s="67">
        <f t="shared" si="0"/>
        <v>1678</v>
      </c>
      <c r="L13" s="68">
        <f t="shared" si="1"/>
        <v>1.1261744966442953</v>
      </c>
      <c r="M13" s="46">
        <v>2517</v>
      </c>
      <c r="N13">
        <v>1.5</v>
      </c>
    </row>
    <row r="14" spans="2:18" ht="15.6" customHeight="1" x14ac:dyDescent="0.25">
      <c r="B14" s="57">
        <f t="shared" si="3"/>
        <v>11</v>
      </c>
      <c r="C14" s="7" t="s">
        <v>48</v>
      </c>
      <c r="D14" s="43">
        <v>1800</v>
      </c>
      <c r="E14" s="9">
        <v>915</v>
      </c>
      <c r="F14" s="9">
        <f t="shared" si="2"/>
        <v>1372.5</v>
      </c>
      <c r="G14" s="12">
        <v>208</v>
      </c>
      <c r="H14" s="9">
        <v>335</v>
      </c>
      <c r="I14" s="9">
        <v>453</v>
      </c>
      <c r="J14" s="9">
        <v>152</v>
      </c>
      <c r="K14" s="67">
        <f t="shared" si="0"/>
        <v>1148</v>
      </c>
      <c r="L14" s="68">
        <f t="shared" si="1"/>
        <v>1.2546448087431694</v>
      </c>
      <c r="M14" s="46">
        <v>1722</v>
      </c>
      <c r="N14">
        <v>1.5</v>
      </c>
    </row>
    <row r="15" spans="2:18" ht="15.6" customHeight="1" x14ac:dyDescent="0.25">
      <c r="B15" s="57">
        <f t="shared" si="3"/>
        <v>12</v>
      </c>
      <c r="C15" s="7" t="s">
        <v>22</v>
      </c>
      <c r="D15" s="43">
        <v>1671</v>
      </c>
      <c r="E15" s="9"/>
      <c r="F15" s="9">
        <f t="shared" si="2"/>
        <v>0</v>
      </c>
      <c r="G15" s="12">
        <v>0</v>
      </c>
      <c r="H15" s="9">
        <v>0</v>
      </c>
      <c r="I15" s="9">
        <v>559</v>
      </c>
      <c r="J15" s="9">
        <v>138</v>
      </c>
      <c r="K15" s="67">
        <f t="shared" si="0"/>
        <v>697</v>
      </c>
      <c r="L15" s="68">
        <f t="shared" si="1"/>
        <v>0</v>
      </c>
      <c r="M15" s="46">
        <v>697</v>
      </c>
      <c r="N15">
        <v>1</v>
      </c>
    </row>
    <row r="16" spans="2:18" ht="15.6" customHeight="1" x14ac:dyDescent="0.25">
      <c r="B16" s="57">
        <f t="shared" si="3"/>
        <v>13</v>
      </c>
      <c r="C16" s="7" t="s">
        <v>23</v>
      </c>
      <c r="D16" s="43">
        <f>180+190</f>
        <v>370</v>
      </c>
      <c r="E16" s="9">
        <v>3</v>
      </c>
      <c r="F16" s="9">
        <f>30+1+1</f>
        <v>32</v>
      </c>
      <c r="G16" s="12">
        <v>0</v>
      </c>
      <c r="H16" s="9">
        <v>0</v>
      </c>
      <c r="I16" s="9">
        <v>3</v>
      </c>
      <c r="J16" s="9">
        <v>0</v>
      </c>
      <c r="K16" s="67">
        <f t="shared" si="0"/>
        <v>3</v>
      </c>
      <c r="L16" s="68">
        <f t="shared" si="1"/>
        <v>1</v>
      </c>
      <c r="M16" s="39">
        <v>32</v>
      </c>
      <c r="N16">
        <v>30</v>
      </c>
    </row>
    <row r="17" spans="2:16" ht="15.6" customHeight="1" x14ac:dyDescent="0.25">
      <c r="B17" s="57">
        <f t="shared" si="3"/>
        <v>14</v>
      </c>
      <c r="C17" s="7" t="s">
        <v>24</v>
      </c>
      <c r="D17" s="43">
        <v>2470</v>
      </c>
      <c r="E17" s="9">
        <v>10</v>
      </c>
      <c r="F17" s="9">
        <f t="shared" si="2"/>
        <v>40</v>
      </c>
      <c r="G17" s="12">
        <v>0</v>
      </c>
      <c r="H17" s="9">
        <v>85</v>
      </c>
      <c r="I17" s="9">
        <v>0</v>
      </c>
      <c r="J17" s="9">
        <v>10</v>
      </c>
      <c r="K17" s="67">
        <f t="shared" si="0"/>
        <v>95</v>
      </c>
      <c r="L17" s="68">
        <f t="shared" si="1"/>
        <v>9.5</v>
      </c>
      <c r="M17" s="39">
        <v>275</v>
      </c>
      <c r="N17">
        <v>4</v>
      </c>
    </row>
    <row r="18" spans="2:16" ht="15.6" customHeight="1" x14ac:dyDescent="0.25">
      <c r="B18" s="57">
        <f t="shared" si="3"/>
        <v>15</v>
      </c>
      <c r="C18" s="7" t="s">
        <v>25</v>
      </c>
      <c r="D18" s="43"/>
      <c r="E18" s="9"/>
      <c r="F18" s="9">
        <f>N18*E18</f>
        <v>0</v>
      </c>
      <c r="G18" s="9"/>
      <c r="H18" s="9"/>
      <c r="I18" s="9"/>
      <c r="J18" s="9"/>
      <c r="K18" s="67">
        <f t="shared" si="0"/>
        <v>0</v>
      </c>
      <c r="L18" s="68">
        <f t="shared" si="1"/>
        <v>0</v>
      </c>
      <c r="M18" s="39"/>
      <c r="N18">
        <v>1.5</v>
      </c>
    </row>
    <row r="19" spans="2:16" ht="15.6" customHeight="1" x14ac:dyDescent="0.25">
      <c r="B19" s="57">
        <f t="shared" si="3"/>
        <v>16</v>
      </c>
      <c r="C19" s="7" t="s">
        <v>26</v>
      </c>
      <c r="D19" s="43">
        <v>437</v>
      </c>
      <c r="E19" s="9"/>
      <c r="F19" s="9">
        <f>N19*E19</f>
        <v>0</v>
      </c>
      <c r="G19" s="9"/>
      <c r="H19" s="9"/>
      <c r="I19" s="9"/>
      <c r="J19" s="9"/>
      <c r="K19" s="67">
        <f t="shared" si="0"/>
        <v>0</v>
      </c>
      <c r="L19" s="68">
        <f t="shared" si="1"/>
        <v>0</v>
      </c>
      <c r="M19" s="46"/>
      <c r="N19">
        <v>1</v>
      </c>
    </row>
    <row r="20" spans="2:16" ht="15.6" customHeight="1" x14ac:dyDescent="0.25">
      <c r="B20" s="57">
        <v>17</v>
      </c>
      <c r="C20" s="7" t="s">
        <v>47</v>
      </c>
      <c r="D20" s="8"/>
      <c r="E20" s="9"/>
      <c r="F20" s="9">
        <f>N20*E20</f>
        <v>0</v>
      </c>
      <c r="G20" s="9"/>
      <c r="H20" s="9"/>
      <c r="I20" s="9"/>
      <c r="J20" s="9"/>
      <c r="K20" s="67">
        <f t="shared" si="0"/>
        <v>0</v>
      </c>
      <c r="L20" s="68">
        <f t="shared" si="1"/>
        <v>0</v>
      </c>
      <c r="M20" s="46"/>
      <c r="N20">
        <v>1.5</v>
      </c>
    </row>
    <row r="21" spans="2:16" ht="15.6" customHeight="1" x14ac:dyDescent="0.25">
      <c r="B21" s="57">
        <v>18</v>
      </c>
      <c r="C21" s="7" t="s">
        <v>27</v>
      </c>
      <c r="D21" s="8"/>
      <c r="E21" s="9"/>
      <c r="F21" s="9">
        <f>N21*E21</f>
        <v>0</v>
      </c>
      <c r="G21" s="9">
        <v>1</v>
      </c>
      <c r="H21" s="9"/>
      <c r="I21" s="9">
        <v>312</v>
      </c>
      <c r="J21" s="9"/>
      <c r="K21" s="67">
        <f t="shared" si="0"/>
        <v>313</v>
      </c>
      <c r="L21" s="68">
        <f t="shared" si="1"/>
        <v>0</v>
      </c>
      <c r="M21" s="46">
        <v>313</v>
      </c>
      <c r="N21">
        <v>1</v>
      </c>
    </row>
    <row r="22" spans="2:16" ht="15.75" x14ac:dyDescent="0.25">
      <c r="B22" s="58"/>
      <c r="C22" s="18" t="s">
        <v>28</v>
      </c>
      <c r="D22" s="80">
        <f t="shared" ref="D22:F22" si="4">SUM(D4:D21)</f>
        <v>41403</v>
      </c>
      <c r="E22" s="81">
        <f t="shared" si="4"/>
        <v>35166</v>
      </c>
      <c r="F22" s="81">
        <f t="shared" si="4"/>
        <v>37068.25</v>
      </c>
      <c r="G22" s="20">
        <f t="shared" ref="G22:J22" si="5">SUM(G4:G20)</f>
        <v>8727</v>
      </c>
      <c r="H22" s="20">
        <f t="shared" si="5"/>
        <v>10346</v>
      </c>
      <c r="I22" s="20">
        <f t="shared" si="5"/>
        <v>11784</v>
      </c>
      <c r="J22" s="20">
        <f t="shared" si="5"/>
        <v>5836</v>
      </c>
      <c r="K22" s="22">
        <f>SUM(K3:K20)</f>
        <v>36693</v>
      </c>
      <c r="L22" s="73">
        <f>K22/E22</f>
        <v>1.0434226241255757</v>
      </c>
      <c r="M22" s="59">
        <f>SUM(M4:M20)</f>
        <v>39177.15</v>
      </c>
    </row>
    <row r="23" spans="2:16" ht="15.75" x14ac:dyDescent="0.25">
      <c r="B23" s="58"/>
      <c r="C23" s="21" t="s">
        <v>29</v>
      </c>
      <c r="D23" s="80"/>
      <c r="E23" s="81"/>
      <c r="F23" s="81"/>
      <c r="G23" s="20">
        <f>SUM(G4:G21)</f>
        <v>8728</v>
      </c>
      <c r="H23" s="20">
        <f>SUM(H4:H21)</f>
        <v>10346</v>
      </c>
      <c r="I23" s="20">
        <f>SUM(I4:I21)</f>
        <v>12096</v>
      </c>
      <c r="J23" s="20">
        <f>SUM(J4:J21)</f>
        <v>5836</v>
      </c>
      <c r="K23" s="22">
        <f>SUM(K4:K21)</f>
        <v>37006</v>
      </c>
      <c r="L23" s="74">
        <f>K23/E22</f>
        <v>1.0523232667917874</v>
      </c>
      <c r="M23" s="59">
        <f>SUM(M4:M21)</f>
        <v>39490.15</v>
      </c>
      <c r="O23" s="28"/>
    </row>
    <row r="24" spans="2:16" ht="15.75" x14ac:dyDescent="0.25">
      <c r="B24" s="60"/>
      <c r="C24" s="7" t="s">
        <v>30</v>
      </c>
      <c r="D24" s="87">
        <v>13</v>
      </c>
      <c r="E24" s="90">
        <f>E22/D24</f>
        <v>2705.0769230769229</v>
      </c>
      <c r="F24" s="90">
        <f>F22/D24</f>
        <v>2851.4038461538462</v>
      </c>
      <c r="G24" s="26">
        <v>2</v>
      </c>
      <c r="H24" s="26">
        <v>4</v>
      </c>
      <c r="I24" s="26">
        <v>5</v>
      </c>
      <c r="J24" s="26">
        <v>2</v>
      </c>
      <c r="K24" s="26">
        <f>G24+H24+I24+J24</f>
        <v>13</v>
      </c>
      <c r="L24" s="24"/>
      <c r="M24" s="62">
        <f>K24</f>
        <v>13</v>
      </c>
      <c r="P24" s="77"/>
    </row>
    <row r="25" spans="2:16" ht="15.75" x14ac:dyDescent="0.25">
      <c r="B25" s="60"/>
      <c r="C25" s="23" t="s">
        <v>55</v>
      </c>
      <c r="D25" s="88"/>
      <c r="E25" s="91"/>
      <c r="F25" s="91"/>
      <c r="G25" s="8">
        <f t="shared" ref="G25:K25" si="6">G22/G24</f>
        <v>4363.5</v>
      </c>
      <c r="H25" s="8">
        <f t="shared" si="6"/>
        <v>2586.5</v>
      </c>
      <c r="I25" s="8">
        <f t="shared" si="6"/>
        <v>2356.8000000000002</v>
      </c>
      <c r="J25" s="8">
        <f t="shared" si="6"/>
        <v>2918</v>
      </c>
      <c r="K25" s="26">
        <f t="shared" si="6"/>
        <v>2822.5384615384614</v>
      </c>
      <c r="L25" s="24"/>
      <c r="M25" s="62">
        <f>M22/M24</f>
        <v>3013.626923076923</v>
      </c>
    </row>
    <row r="26" spans="2:16" ht="15.75" thickBot="1" x14ac:dyDescent="0.3">
      <c r="B26" s="63"/>
      <c r="C26" s="64" t="s">
        <v>56</v>
      </c>
      <c r="D26" s="89"/>
      <c r="E26" s="92"/>
      <c r="F26" s="92"/>
      <c r="G26" s="65">
        <f>G23/G24</f>
        <v>4364</v>
      </c>
      <c r="H26" s="65">
        <f t="shared" ref="H26:J26" si="7">H23/H24</f>
        <v>2586.5</v>
      </c>
      <c r="I26" s="65">
        <f t="shared" si="7"/>
        <v>2419.1999999999998</v>
      </c>
      <c r="J26" s="65">
        <f t="shared" si="7"/>
        <v>2918</v>
      </c>
      <c r="K26" s="65">
        <f>K23/K24</f>
        <v>2846.6153846153848</v>
      </c>
      <c r="L26" s="64"/>
      <c r="M26" s="66">
        <f>M23/M24</f>
        <v>3037.7038461538464</v>
      </c>
    </row>
    <row r="27" spans="2:16" x14ac:dyDescent="0.25">
      <c r="F27" s="42"/>
    </row>
    <row r="28" spans="2:16" x14ac:dyDescent="0.25">
      <c r="E28" s="41"/>
      <c r="F28" s="28"/>
    </row>
    <row r="29" spans="2:16" x14ac:dyDescent="0.25">
      <c r="F29" s="41"/>
    </row>
  </sheetData>
  <mergeCells count="6">
    <mergeCell ref="D22:D23"/>
    <mergeCell ref="E22:E23"/>
    <mergeCell ref="F22:F23"/>
    <mergeCell ref="D24:D26"/>
    <mergeCell ref="E24:E26"/>
    <mergeCell ref="F24:F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90287-6A76-45A8-A0D2-B2DB17224C2D}">
  <dimension ref="B2:R29"/>
  <sheetViews>
    <sheetView zoomScale="85" zoomScaleNormal="85" workbookViewId="0">
      <selection activeCell="F17" sqref="F17"/>
    </sheetView>
  </sheetViews>
  <sheetFormatPr defaultRowHeight="15" x14ac:dyDescent="0.25"/>
  <cols>
    <col min="2" max="2" width="7.7109375" customWidth="1"/>
    <col min="3" max="3" width="38.85546875" bestFit="1" customWidth="1"/>
    <col min="4" max="4" width="11.7109375" customWidth="1"/>
    <col min="5" max="6" width="11.42578125" customWidth="1"/>
    <col min="7" max="10" width="11.42578125" hidden="1" customWidth="1"/>
    <col min="11" max="13" width="11.42578125" customWidth="1"/>
    <col min="14" max="14" width="9.140625" hidden="1" customWidth="1"/>
    <col min="15" max="15" width="8.28515625" style="42" customWidth="1"/>
    <col min="16" max="16" width="7.7109375" customWidth="1"/>
    <col min="17" max="17" width="7.7109375" style="75" customWidth="1"/>
    <col min="18" max="18" width="9.140625" style="75"/>
  </cols>
  <sheetData>
    <row r="2" spans="2:15" ht="19.5" thickBot="1" x14ac:dyDescent="0.35">
      <c r="C2" s="1" t="s">
        <v>90</v>
      </c>
    </row>
    <row r="3" spans="2:15" ht="15.75" x14ac:dyDescent="0.25">
      <c r="B3" s="49" t="s">
        <v>0</v>
      </c>
      <c r="C3" s="50" t="s">
        <v>1</v>
      </c>
      <c r="D3" s="51" t="s">
        <v>91</v>
      </c>
      <c r="E3" s="52" t="s">
        <v>92</v>
      </c>
      <c r="F3" s="53" t="s">
        <v>93</v>
      </c>
      <c r="G3" s="53" t="s">
        <v>4</v>
      </c>
      <c r="H3" s="53" t="s">
        <v>4</v>
      </c>
      <c r="I3" s="53" t="s">
        <v>5</v>
      </c>
      <c r="J3" s="53" t="s">
        <v>6</v>
      </c>
      <c r="K3" s="54" t="s">
        <v>94</v>
      </c>
      <c r="L3" s="54" t="s">
        <v>9</v>
      </c>
      <c r="M3" s="55" t="s">
        <v>10</v>
      </c>
    </row>
    <row r="4" spans="2:15" x14ac:dyDescent="0.25">
      <c r="B4" s="56">
        <v>1</v>
      </c>
      <c r="C4" s="7" t="s">
        <v>11</v>
      </c>
      <c r="D4" s="43">
        <v>2710</v>
      </c>
      <c r="E4" s="67">
        <v>1820</v>
      </c>
      <c r="F4" s="9">
        <f>(1800*1.5)+20</f>
        <v>2720</v>
      </c>
      <c r="G4" s="45">
        <v>0</v>
      </c>
      <c r="H4" s="9">
        <v>1400</v>
      </c>
      <c r="I4" s="9">
        <v>420</v>
      </c>
      <c r="J4" s="9">
        <v>0</v>
      </c>
      <c r="K4" s="67">
        <f>H4+I4+J4</f>
        <v>1820</v>
      </c>
      <c r="L4" s="68">
        <f t="shared" ref="L4:L21" si="0">IFERROR(K4/E4,0)</f>
        <v>1</v>
      </c>
      <c r="M4" s="46">
        <v>2720</v>
      </c>
      <c r="N4">
        <v>1.5</v>
      </c>
      <c r="O4" s="44">
        <f>K4-E4</f>
        <v>0</v>
      </c>
    </row>
    <row r="5" spans="2:15" x14ac:dyDescent="0.25">
      <c r="B5" s="56">
        <f>B4+1</f>
        <v>2</v>
      </c>
      <c r="C5" s="7" t="s">
        <v>12</v>
      </c>
      <c r="D5" s="43">
        <v>2016</v>
      </c>
      <c r="E5" s="67">
        <v>1820</v>
      </c>
      <c r="F5" s="9">
        <f>N5*E5</f>
        <v>2730</v>
      </c>
      <c r="G5" s="12">
        <v>340</v>
      </c>
      <c r="H5" s="9">
        <f>560+G5</f>
        <v>900</v>
      </c>
      <c r="I5" s="9">
        <v>734</v>
      </c>
      <c r="J5" s="9">
        <v>542</v>
      </c>
      <c r="K5" s="67">
        <f t="shared" ref="K5:K21" si="1">H5+I5+J5</f>
        <v>2176</v>
      </c>
      <c r="L5" s="68">
        <f t="shared" si="0"/>
        <v>1.1956043956043956</v>
      </c>
      <c r="M5" s="46">
        <v>3264</v>
      </c>
      <c r="N5">
        <v>1.5</v>
      </c>
      <c r="O5" s="44"/>
    </row>
    <row r="6" spans="2:15" ht="15.6" customHeight="1" x14ac:dyDescent="0.25">
      <c r="B6" s="56">
        <f t="shared" ref="B6:B19" si="2">B5+1</f>
        <v>3</v>
      </c>
      <c r="C6" s="7" t="s">
        <v>13</v>
      </c>
      <c r="D6" s="43">
        <v>4409</v>
      </c>
      <c r="E6" s="67">
        <v>6320</v>
      </c>
      <c r="F6" s="9">
        <f t="shared" ref="F6:F14" si="3">N6*E6</f>
        <v>3792</v>
      </c>
      <c r="G6" s="12">
        <v>0</v>
      </c>
      <c r="H6" s="9">
        <v>3170</v>
      </c>
      <c r="I6" s="9">
        <v>1850</v>
      </c>
      <c r="J6" s="9">
        <v>1300</v>
      </c>
      <c r="K6" s="67">
        <f t="shared" si="1"/>
        <v>6320</v>
      </c>
      <c r="L6" s="68">
        <f t="shared" si="0"/>
        <v>1</v>
      </c>
      <c r="M6" s="46">
        <v>3792</v>
      </c>
      <c r="N6">
        <v>0.6</v>
      </c>
      <c r="O6" s="44"/>
    </row>
    <row r="7" spans="2:15" ht="15.6" customHeight="1" x14ac:dyDescent="0.25">
      <c r="B7" s="57">
        <f t="shared" si="2"/>
        <v>4</v>
      </c>
      <c r="C7" s="7" t="s">
        <v>14</v>
      </c>
      <c r="D7" s="43">
        <v>5031</v>
      </c>
      <c r="E7" s="67">
        <v>5000</v>
      </c>
      <c r="F7" s="9">
        <f t="shared" si="3"/>
        <v>3750</v>
      </c>
      <c r="G7" s="12">
        <v>0</v>
      </c>
      <c r="H7" s="9">
        <v>500</v>
      </c>
      <c r="I7" s="9">
        <v>3016</v>
      </c>
      <c r="J7" s="9">
        <v>1478</v>
      </c>
      <c r="K7" s="67">
        <f t="shared" si="1"/>
        <v>4994</v>
      </c>
      <c r="L7" s="68">
        <f t="shared" si="0"/>
        <v>0.99880000000000002</v>
      </c>
      <c r="M7" s="46">
        <v>3745.5</v>
      </c>
      <c r="N7">
        <v>0.75</v>
      </c>
      <c r="O7" s="44"/>
    </row>
    <row r="8" spans="2:15" ht="15.6" customHeight="1" x14ac:dyDescent="0.25">
      <c r="B8" s="57">
        <f t="shared" si="2"/>
        <v>5</v>
      </c>
      <c r="C8" s="7" t="s">
        <v>15</v>
      </c>
      <c r="D8" s="43">
        <v>1617</v>
      </c>
      <c r="E8" s="67">
        <v>650</v>
      </c>
      <c r="F8" s="9">
        <f t="shared" si="3"/>
        <v>975</v>
      </c>
      <c r="G8" s="12">
        <v>0</v>
      </c>
      <c r="H8" s="9">
        <v>230</v>
      </c>
      <c r="I8" s="9">
        <v>417</v>
      </c>
      <c r="J8" s="9">
        <v>3</v>
      </c>
      <c r="K8" s="67">
        <f t="shared" si="1"/>
        <v>650</v>
      </c>
      <c r="L8" s="68">
        <f t="shared" si="0"/>
        <v>1</v>
      </c>
      <c r="M8" s="46">
        <v>975</v>
      </c>
      <c r="N8">
        <v>1.5</v>
      </c>
      <c r="O8" s="44"/>
    </row>
    <row r="9" spans="2:15" ht="15.6" customHeight="1" x14ac:dyDescent="0.25">
      <c r="B9" s="57">
        <f t="shared" si="2"/>
        <v>6</v>
      </c>
      <c r="C9" s="7" t="s">
        <v>16</v>
      </c>
      <c r="D9" s="43">
        <v>7443</v>
      </c>
      <c r="E9" s="67">
        <v>8010</v>
      </c>
      <c r="F9" s="9">
        <f t="shared" si="3"/>
        <v>8010</v>
      </c>
      <c r="G9" s="12">
        <v>10</v>
      </c>
      <c r="H9" s="9">
        <f>2550+G9</f>
        <v>2560</v>
      </c>
      <c r="I9" s="9">
        <v>3750</v>
      </c>
      <c r="J9" s="9">
        <v>1877</v>
      </c>
      <c r="K9" s="67">
        <f t="shared" si="1"/>
        <v>8187</v>
      </c>
      <c r="L9" s="68">
        <f t="shared" si="0"/>
        <v>1.0220973782771536</v>
      </c>
      <c r="M9" s="46">
        <v>8187</v>
      </c>
      <c r="N9">
        <v>1</v>
      </c>
      <c r="O9" s="44"/>
    </row>
    <row r="10" spans="2:15" ht="15.6" customHeight="1" x14ac:dyDescent="0.25">
      <c r="B10" s="57">
        <f t="shared" si="2"/>
        <v>7</v>
      </c>
      <c r="C10" s="7" t="s">
        <v>17</v>
      </c>
      <c r="D10" s="43">
        <v>1973</v>
      </c>
      <c r="E10" s="67">
        <v>780</v>
      </c>
      <c r="F10" s="9">
        <f t="shared" si="3"/>
        <v>1170</v>
      </c>
      <c r="G10" s="12">
        <v>0</v>
      </c>
      <c r="H10" s="9">
        <v>582</v>
      </c>
      <c r="I10" s="9">
        <v>318</v>
      </c>
      <c r="J10" s="9">
        <v>0</v>
      </c>
      <c r="K10" s="67">
        <f t="shared" si="1"/>
        <v>900</v>
      </c>
      <c r="L10" s="68">
        <f t="shared" si="0"/>
        <v>1.1538461538461537</v>
      </c>
      <c r="M10" s="46">
        <v>1350</v>
      </c>
      <c r="N10">
        <v>1.5</v>
      </c>
      <c r="O10" s="44"/>
    </row>
    <row r="11" spans="2:15" ht="15.6" customHeight="1" x14ac:dyDescent="0.25">
      <c r="B11" s="57">
        <f t="shared" si="2"/>
        <v>8</v>
      </c>
      <c r="C11" s="7" t="s">
        <v>18</v>
      </c>
      <c r="D11" s="27"/>
      <c r="E11" s="67"/>
      <c r="F11" s="9">
        <f t="shared" si="3"/>
        <v>0</v>
      </c>
      <c r="G11" s="12">
        <v>0</v>
      </c>
      <c r="H11" s="9">
        <v>0</v>
      </c>
      <c r="I11" s="9">
        <v>0</v>
      </c>
      <c r="J11" s="9">
        <v>0</v>
      </c>
      <c r="K11" s="67">
        <f t="shared" si="1"/>
        <v>0</v>
      </c>
      <c r="L11" s="68">
        <f t="shared" si="0"/>
        <v>0</v>
      </c>
      <c r="M11" s="46">
        <v>0</v>
      </c>
      <c r="N11">
        <v>1.5</v>
      </c>
      <c r="O11" s="44"/>
    </row>
    <row r="12" spans="2:15" ht="15.6" customHeight="1" x14ac:dyDescent="0.25">
      <c r="B12" s="57">
        <f t="shared" si="2"/>
        <v>9</v>
      </c>
      <c r="C12" s="7" t="s">
        <v>19</v>
      </c>
      <c r="D12" s="27"/>
      <c r="E12" s="67"/>
      <c r="F12" s="9">
        <f t="shared" si="3"/>
        <v>0</v>
      </c>
      <c r="G12" s="12">
        <v>0</v>
      </c>
      <c r="H12" s="9">
        <v>0</v>
      </c>
      <c r="I12" s="9">
        <v>0</v>
      </c>
      <c r="J12" s="9">
        <v>0</v>
      </c>
      <c r="K12" s="67">
        <f t="shared" si="1"/>
        <v>0</v>
      </c>
      <c r="L12" s="68">
        <f t="shared" si="0"/>
        <v>0</v>
      </c>
      <c r="M12" s="46">
        <v>0</v>
      </c>
      <c r="N12">
        <v>1.5</v>
      </c>
      <c r="O12" s="44"/>
    </row>
    <row r="13" spans="2:15" ht="15.6" customHeight="1" x14ac:dyDescent="0.25">
      <c r="B13" s="57">
        <f t="shared" si="2"/>
        <v>10</v>
      </c>
      <c r="C13" s="7" t="s">
        <v>20</v>
      </c>
      <c r="D13" s="27">
        <v>5947</v>
      </c>
      <c r="E13" s="67">
        <v>1386</v>
      </c>
      <c r="F13" s="9">
        <f t="shared" si="3"/>
        <v>2079</v>
      </c>
      <c r="G13" s="12">
        <v>0</v>
      </c>
      <c r="H13" s="9">
        <v>752</v>
      </c>
      <c r="I13" s="9">
        <v>550</v>
      </c>
      <c r="J13" s="9">
        <v>84</v>
      </c>
      <c r="K13" s="67">
        <f t="shared" si="1"/>
        <v>1386</v>
      </c>
      <c r="L13" s="68">
        <f t="shared" si="0"/>
        <v>1</v>
      </c>
      <c r="M13" s="46">
        <v>2079</v>
      </c>
      <c r="N13">
        <v>1.5</v>
      </c>
      <c r="O13" s="44"/>
    </row>
    <row r="14" spans="2:15" ht="15.6" customHeight="1" x14ac:dyDescent="0.25">
      <c r="B14" s="57">
        <f t="shared" si="2"/>
        <v>11</v>
      </c>
      <c r="C14" s="7" t="s">
        <v>48</v>
      </c>
      <c r="D14" s="43">
        <v>1800</v>
      </c>
      <c r="E14" s="67">
        <v>1379</v>
      </c>
      <c r="F14" s="9">
        <f t="shared" si="3"/>
        <v>2068.5</v>
      </c>
      <c r="G14" s="12">
        <v>280</v>
      </c>
      <c r="H14" s="9">
        <f>391+G14</f>
        <v>671</v>
      </c>
      <c r="I14" s="9">
        <v>534</v>
      </c>
      <c r="J14" s="9">
        <v>467</v>
      </c>
      <c r="K14" s="67">
        <f t="shared" si="1"/>
        <v>1672</v>
      </c>
      <c r="L14" s="68">
        <f t="shared" si="0"/>
        <v>1.2124728063814358</v>
      </c>
      <c r="M14" s="46">
        <v>2508</v>
      </c>
      <c r="N14">
        <v>1.5</v>
      </c>
      <c r="O14" s="44"/>
    </row>
    <row r="15" spans="2:15" ht="15.6" customHeight="1" x14ac:dyDescent="0.25">
      <c r="B15" s="57">
        <f t="shared" si="2"/>
        <v>12</v>
      </c>
      <c r="C15" s="7" t="s">
        <v>22</v>
      </c>
      <c r="D15" s="43">
        <v>1723</v>
      </c>
      <c r="E15" s="67"/>
      <c r="F15" s="9">
        <f>N15*E15</f>
        <v>0</v>
      </c>
      <c r="G15" s="12">
        <v>0</v>
      </c>
      <c r="H15" s="9">
        <v>395</v>
      </c>
      <c r="I15" s="9">
        <v>0</v>
      </c>
      <c r="J15" s="9">
        <v>0</v>
      </c>
      <c r="K15" s="67">
        <f t="shared" si="1"/>
        <v>395</v>
      </c>
      <c r="L15" s="68">
        <f t="shared" si="0"/>
        <v>0</v>
      </c>
      <c r="M15" s="46">
        <v>395</v>
      </c>
      <c r="N15">
        <v>1</v>
      </c>
      <c r="O15" s="44"/>
    </row>
    <row r="16" spans="2:15" ht="15.6" customHeight="1" x14ac:dyDescent="0.25">
      <c r="B16" s="57">
        <f t="shared" si="2"/>
        <v>13</v>
      </c>
      <c r="C16" s="7" t="s">
        <v>23</v>
      </c>
      <c r="D16" s="43">
        <v>390</v>
      </c>
      <c r="E16" s="67"/>
      <c r="F16" s="9">
        <f>N16*E16</f>
        <v>0</v>
      </c>
      <c r="G16" s="12">
        <v>0</v>
      </c>
      <c r="H16" s="9">
        <v>0</v>
      </c>
      <c r="I16" s="9">
        <v>0</v>
      </c>
      <c r="J16" s="9">
        <v>0</v>
      </c>
      <c r="K16" s="67">
        <f t="shared" si="1"/>
        <v>0</v>
      </c>
      <c r="L16" s="68">
        <f t="shared" si="0"/>
        <v>0</v>
      </c>
      <c r="M16" s="39">
        <v>0</v>
      </c>
      <c r="N16">
        <v>30</v>
      </c>
      <c r="O16" s="44"/>
    </row>
    <row r="17" spans="2:17" ht="15.6" customHeight="1" x14ac:dyDescent="0.25">
      <c r="B17" s="57">
        <f t="shared" si="2"/>
        <v>14</v>
      </c>
      <c r="C17" s="7" t="s">
        <v>24</v>
      </c>
      <c r="D17" s="43">
        <v>480</v>
      </c>
      <c r="E17" s="67">
        <v>890</v>
      </c>
      <c r="F17" s="9">
        <f>(360*4)+580</f>
        <v>2020</v>
      </c>
      <c r="G17" s="12">
        <v>0</v>
      </c>
      <c r="H17" s="9">
        <v>310</v>
      </c>
      <c r="I17" s="9">
        <v>580</v>
      </c>
      <c r="J17" s="9">
        <v>0</v>
      </c>
      <c r="K17" s="67">
        <f t="shared" si="1"/>
        <v>890</v>
      </c>
      <c r="L17" s="68">
        <f t="shared" si="0"/>
        <v>1</v>
      </c>
      <c r="M17" s="39">
        <v>1820</v>
      </c>
      <c r="N17">
        <v>4</v>
      </c>
      <c r="O17" s="44"/>
    </row>
    <row r="18" spans="2:17" ht="15.6" customHeight="1" x14ac:dyDescent="0.25">
      <c r="B18" s="57">
        <f t="shared" si="2"/>
        <v>15</v>
      </c>
      <c r="C18" s="7" t="s">
        <v>25</v>
      </c>
      <c r="D18" s="43"/>
      <c r="E18" s="67"/>
      <c r="F18" s="9">
        <f>N18*E18</f>
        <v>0</v>
      </c>
      <c r="G18" s="9"/>
      <c r="H18" s="9"/>
      <c r="I18" s="9"/>
      <c r="J18" s="9"/>
      <c r="K18" s="67">
        <f t="shared" si="1"/>
        <v>0</v>
      </c>
      <c r="L18" s="68">
        <f t="shared" si="0"/>
        <v>0</v>
      </c>
      <c r="M18" s="39"/>
      <c r="N18">
        <v>1.5</v>
      </c>
      <c r="O18" s="44"/>
    </row>
    <row r="19" spans="2:17" ht="15.6" customHeight="1" x14ac:dyDescent="0.25">
      <c r="B19" s="57">
        <f t="shared" si="2"/>
        <v>16</v>
      </c>
      <c r="C19" s="7" t="s">
        <v>26</v>
      </c>
      <c r="D19" s="43"/>
      <c r="E19" s="67"/>
      <c r="F19" s="9">
        <f>N19*E19</f>
        <v>0</v>
      </c>
      <c r="G19" s="9"/>
      <c r="H19" s="9"/>
      <c r="I19" s="9"/>
      <c r="J19" s="9"/>
      <c r="K19" s="67">
        <f t="shared" si="1"/>
        <v>0</v>
      </c>
      <c r="L19" s="68">
        <f t="shared" si="0"/>
        <v>0</v>
      </c>
      <c r="M19" s="46"/>
      <c r="N19">
        <v>1</v>
      </c>
      <c r="O19" s="44"/>
    </row>
    <row r="20" spans="2:17" ht="15.6" customHeight="1" x14ac:dyDescent="0.25">
      <c r="B20" s="57">
        <v>17</v>
      </c>
      <c r="C20" s="7" t="s">
        <v>47</v>
      </c>
      <c r="D20" s="8"/>
      <c r="E20" s="67"/>
      <c r="F20" s="9">
        <f>N20*E20</f>
        <v>0</v>
      </c>
      <c r="G20" s="9"/>
      <c r="H20" s="9"/>
      <c r="I20" s="9"/>
      <c r="J20" s="9"/>
      <c r="K20" s="67">
        <f t="shared" si="1"/>
        <v>0</v>
      </c>
      <c r="L20" s="68">
        <f t="shared" si="0"/>
        <v>0</v>
      </c>
      <c r="M20" s="46"/>
      <c r="N20">
        <v>1.5</v>
      </c>
      <c r="O20" s="44"/>
    </row>
    <row r="21" spans="2:17" ht="15.6" customHeight="1" x14ac:dyDescent="0.25">
      <c r="B21" s="57">
        <v>18</v>
      </c>
      <c r="C21" s="7" t="s">
        <v>27</v>
      </c>
      <c r="D21" s="8"/>
      <c r="E21" s="67"/>
      <c r="F21" s="9">
        <f>N21*E21</f>
        <v>0</v>
      </c>
      <c r="G21" s="9"/>
      <c r="H21" s="9"/>
      <c r="I21" s="9"/>
      <c r="J21" s="9"/>
      <c r="K21" s="67">
        <f t="shared" si="1"/>
        <v>0</v>
      </c>
      <c r="L21" s="68">
        <f t="shared" si="0"/>
        <v>0</v>
      </c>
      <c r="M21" s="46"/>
      <c r="N21">
        <v>1</v>
      </c>
      <c r="O21" s="44"/>
    </row>
    <row r="22" spans="2:17" ht="15.75" x14ac:dyDescent="0.25">
      <c r="B22" s="58"/>
      <c r="C22" s="18" t="s">
        <v>28</v>
      </c>
      <c r="D22" s="80">
        <f t="shared" ref="D22:F22" si="4">SUM(D4:D21)</f>
        <v>35539</v>
      </c>
      <c r="E22" s="81">
        <f t="shared" si="4"/>
        <v>28055</v>
      </c>
      <c r="F22" s="81">
        <f t="shared" si="4"/>
        <v>29314.5</v>
      </c>
      <c r="G22" s="20">
        <f t="shared" ref="G22:J22" si="5">SUM(G4:G20)</f>
        <v>630</v>
      </c>
      <c r="H22" s="20">
        <f t="shared" si="5"/>
        <v>11470</v>
      </c>
      <c r="I22" s="20">
        <f t="shared" si="5"/>
        <v>12169</v>
      </c>
      <c r="J22" s="20">
        <f t="shared" si="5"/>
        <v>5751</v>
      </c>
      <c r="K22" s="22">
        <f>SUM(K3:K20)</f>
        <v>29390</v>
      </c>
      <c r="L22" s="73">
        <f>K22/E22</f>
        <v>1.0475851006950632</v>
      </c>
      <c r="M22" s="59">
        <f>SUM(M4:M20)</f>
        <v>30835.5</v>
      </c>
    </row>
    <row r="23" spans="2:17" ht="15.75" x14ac:dyDescent="0.25">
      <c r="B23" s="58"/>
      <c r="C23" s="21" t="s">
        <v>29</v>
      </c>
      <c r="D23" s="80"/>
      <c r="E23" s="81"/>
      <c r="F23" s="81"/>
      <c r="G23" s="20">
        <f>SUM(G4:G21)</f>
        <v>630</v>
      </c>
      <c r="H23" s="20">
        <f>SUM(H4:H21)</f>
        <v>11470</v>
      </c>
      <c r="I23" s="20">
        <f>SUM(I4:I21)</f>
        <v>12169</v>
      </c>
      <c r="J23" s="20">
        <f>SUM(J4:J21)</f>
        <v>5751</v>
      </c>
      <c r="K23" s="22">
        <f>SUM(K4:K21)</f>
        <v>29390</v>
      </c>
      <c r="L23" s="74">
        <f>K23/E22</f>
        <v>1.0475851006950632</v>
      </c>
      <c r="M23" s="59">
        <f>SUM(M4:M21)</f>
        <v>30835.5</v>
      </c>
    </row>
    <row r="24" spans="2:17" ht="15.75" x14ac:dyDescent="0.25">
      <c r="B24" s="60"/>
      <c r="C24" s="7" t="s">
        <v>30</v>
      </c>
      <c r="D24" s="82"/>
      <c r="E24" s="26"/>
      <c r="F24" s="26"/>
      <c r="G24" s="26">
        <v>0</v>
      </c>
      <c r="H24" s="26">
        <v>4</v>
      </c>
      <c r="I24" s="26">
        <v>5</v>
      </c>
      <c r="J24" s="26">
        <v>2</v>
      </c>
      <c r="K24" s="26">
        <f>G24+H24+I24+J24</f>
        <v>11</v>
      </c>
      <c r="L24" s="24"/>
      <c r="M24" s="62">
        <f>K24</f>
        <v>11</v>
      </c>
      <c r="Q24" s="77"/>
    </row>
    <row r="25" spans="2:17" ht="15.75" x14ac:dyDescent="0.25">
      <c r="B25" s="60"/>
      <c r="C25" s="23" t="s">
        <v>55</v>
      </c>
      <c r="D25" s="83"/>
      <c r="E25" s="85"/>
      <c r="F25" s="85"/>
      <c r="G25" s="8" t="e">
        <f t="shared" ref="G25:K25" si="6">G22/G24</f>
        <v>#DIV/0!</v>
      </c>
      <c r="H25" s="8">
        <f t="shared" si="6"/>
        <v>2867.5</v>
      </c>
      <c r="I25" s="8">
        <f t="shared" si="6"/>
        <v>2433.8000000000002</v>
      </c>
      <c r="J25" s="8">
        <f t="shared" si="6"/>
        <v>2875.5</v>
      </c>
      <c r="K25" s="26">
        <f t="shared" si="6"/>
        <v>2671.818181818182</v>
      </c>
      <c r="L25" s="24"/>
      <c r="M25" s="62">
        <f>M22/M24</f>
        <v>2803.2272727272725</v>
      </c>
    </row>
    <row r="26" spans="2:17" ht="15.75" thickBot="1" x14ac:dyDescent="0.3">
      <c r="B26" s="63"/>
      <c r="C26" s="64" t="s">
        <v>56</v>
      </c>
      <c r="D26" s="84"/>
      <c r="E26" s="86"/>
      <c r="F26" s="86"/>
      <c r="G26" s="65" t="e">
        <f>G23/G24</f>
        <v>#DIV/0!</v>
      </c>
      <c r="H26" s="65">
        <f t="shared" ref="H26:J26" si="7">H23/H24</f>
        <v>2867.5</v>
      </c>
      <c r="I26" s="65">
        <f t="shared" si="7"/>
        <v>2433.8000000000002</v>
      </c>
      <c r="J26" s="65">
        <f t="shared" si="7"/>
        <v>2875.5</v>
      </c>
      <c r="K26" s="65">
        <f>K23/K24</f>
        <v>2671.818181818182</v>
      </c>
      <c r="L26" s="64"/>
      <c r="M26" s="66">
        <f>M23/M24</f>
        <v>2803.2272727272725</v>
      </c>
    </row>
    <row r="27" spans="2:17" x14ac:dyDescent="0.25">
      <c r="F27" s="42"/>
    </row>
    <row r="28" spans="2:17" x14ac:dyDescent="0.25">
      <c r="F28" s="40"/>
    </row>
    <row r="29" spans="2:17" x14ac:dyDescent="0.25">
      <c r="E29" s="79"/>
      <c r="F29" s="40"/>
    </row>
  </sheetData>
  <mergeCells count="6">
    <mergeCell ref="D22:D23"/>
    <mergeCell ref="E22:E23"/>
    <mergeCell ref="F22:F23"/>
    <mergeCell ref="D24:D26"/>
    <mergeCell ref="E25:E26"/>
    <mergeCell ref="F25:F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A85E1-4F7F-46AA-B295-B029A814F983}">
  <dimension ref="B2:R30"/>
  <sheetViews>
    <sheetView zoomScale="85" zoomScaleNormal="85" workbookViewId="0">
      <selection activeCell="F12" sqref="F12"/>
    </sheetView>
  </sheetViews>
  <sheetFormatPr defaultRowHeight="15" x14ac:dyDescent="0.25"/>
  <cols>
    <col min="2" max="2" width="7.7109375" customWidth="1"/>
    <col min="3" max="3" width="38.85546875" bestFit="1" customWidth="1"/>
    <col min="4" max="4" width="11.7109375" customWidth="1"/>
    <col min="5" max="6" width="11.42578125" customWidth="1"/>
    <col min="7" max="10" width="11.42578125" hidden="1" customWidth="1"/>
    <col min="11" max="13" width="11.42578125" customWidth="1"/>
    <col min="14" max="14" width="9.140625" hidden="1" customWidth="1"/>
    <col min="15" max="15" width="8.28515625" style="42" customWidth="1"/>
    <col min="16" max="16" width="7.7109375" customWidth="1"/>
    <col min="17" max="17" width="7.7109375" style="75" customWidth="1"/>
    <col min="18" max="18" width="9.140625" style="75"/>
  </cols>
  <sheetData>
    <row r="2" spans="2:15" ht="19.5" thickBot="1" x14ac:dyDescent="0.35">
      <c r="C2" s="1" t="s">
        <v>96</v>
      </c>
    </row>
    <row r="3" spans="2:15" ht="15.75" x14ac:dyDescent="0.25">
      <c r="B3" s="49" t="s">
        <v>0</v>
      </c>
      <c r="C3" s="50" t="s">
        <v>1</v>
      </c>
      <c r="D3" s="51" t="s">
        <v>97</v>
      </c>
      <c r="E3" s="52" t="s">
        <v>98</v>
      </c>
      <c r="F3" s="53" t="s">
        <v>99</v>
      </c>
      <c r="G3" s="53" t="s">
        <v>4</v>
      </c>
      <c r="H3" s="53" t="s">
        <v>5</v>
      </c>
      <c r="I3" s="53" t="s">
        <v>6</v>
      </c>
      <c r="J3" s="53" t="s">
        <v>7</v>
      </c>
      <c r="K3" s="54" t="s">
        <v>100</v>
      </c>
      <c r="L3" s="54" t="s">
        <v>9</v>
      </c>
      <c r="M3" s="55" t="s">
        <v>10</v>
      </c>
    </row>
    <row r="4" spans="2:15" x14ac:dyDescent="0.25">
      <c r="B4" s="56">
        <v>1</v>
      </c>
      <c r="C4" s="7" t="s">
        <v>11</v>
      </c>
      <c r="D4" s="43">
        <v>2710</v>
      </c>
      <c r="E4" s="67">
        <v>2730</v>
      </c>
      <c r="F4" s="9">
        <f>(2680*1.5)+50</f>
        <v>4070</v>
      </c>
      <c r="G4" s="45">
        <v>1510</v>
      </c>
      <c r="H4" s="9">
        <v>1100</v>
      </c>
      <c r="I4" s="9">
        <v>120</v>
      </c>
      <c r="J4" s="9">
        <v>0</v>
      </c>
      <c r="K4" s="67">
        <f t="shared" ref="K4:K21" si="0">G4+H4+I4+J4</f>
        <v>2730</v>
      </c>
      <c r="L4" s="68">
        <f t="shared" ref="L4:L21" si="1">IFERROR(K4/E4,0)</f>
        <v>1</v>
      </c>
      <c r="M4" s="46">
        <v>4070</v>
      </c>
      <c r="N4">
        <v>1.5</v>
      </c>
      <c r="O4" s="44"/>
    </row>
    <row r="5" spans="2:15" x14ac:dyDescent="0.25">
      <c r="B5" s="56">
        <f>B4+1</f>
        <v>2</v>
      </c>
      <c r="C5" s="7" t="s">
        <v>12</v>
      </c>
      <c r="D5" s="43">
        <v>3024</v>
      </c>
      <c r="E5" s="105">
        <v>4068</v>
      </c>
      <c r="F5" s="9">
        <f>N5*E5</f>
        <v>6102</v>
      </c>
      <c r="G5" s="12">
        <v>1187</v>
      </c>
      <c r="H5" s="9">
        <v>1171</v>
      </c>
      <c r="I5" s="9">
        <v>949</v>
      </c>
      <c r="J5" s="9">
        <v>560</v>
      </c>
      <c r="K5" s="67">
        <f t="shared" si="0"/>
        <v>3867</v>
      </c>
      <c r="L5" s="76">
        <f t="shared" si="1"/>
        <v>0.95058997050147498</v>
      </c>
      <c r="M5" s="46">
        <v>5800.5</v>
      </c>
      <c r="N5">
        <v>1.5</v>
      </c>
    </row>
    <row r="6" spans="2:15" ht="15.6" customHeight="1" x14ac:dyDescent="0.25">
      <c r="B6" s="56">
        <f t="shared" ref="B6:B19" si="2">B5+1</f>
        <v>3</v>
      </c>
      <c r="C6" s="7" t="s">
        <v>13</v>
      </c>
      <c r="D6" s="43">
        <v>5921</v>
      </c>
      <c r="E6" s="67">
        <v>1908</v>
      </c>
      <c r="F6" s="9">
        <f t="shared" ref="F6:F14" si="3">N6*E6</f>
        <v>1144.8</v>
      </c>
      <c r="G6" s="12">
        <v>100</v>
      </c>
      <c r="H6" s="9">
        <v>839</v>
      </c>
      <c r="I6" s="9">
        <v>969</v>
      </c>
      <c r="J6" s="9">
        <v>0</v>
      </c>
      <c r="K6" s="67">
        <f t="shared" si="0"/>
        <v>1908</v>
      </c>
      <c r="L6" s="68">
        <f t="shared" si="1"/>
        <v>1</v>
      </c>
      <c r="M6" s="46">
        <v>1144.8</v>
      </c>
      <c r="N6">
        <v>0.6</v>
      </c>
    </row>
    <row r="7" spans="2:15" ht="15.6" customHeight="1" x14ac:dyDescent="0.25">
      <c r="B7" s="57">
        <f t="shared" si="2"/>
        <v>4</v>
      </c>
      <c r="C7" s="7" t="s">
        <v>14</v>
      </c>
      <c r="D7" s="43">
        <v>7884</v>
      </c>
      <c r="E7" s="67">
        <v>276</v>
      </c>
      <c r="F7" s="9">
        <f t="shared" si="3"/>
        <v>207</v>
      </c>
      <c r="G7" s="12">
        <v>0</v>
      </c>
      <c r="H7" s="9">
        <v>276</v>
      </c>
      <c r="I7" s="9">
        <v>0</v>
      </c>
      <c r="J7" s="9">
        <v>0</v>
      </c>
      <c r="K7" s="67">
        <f>G7+H7+I7+J7</f>
        <v>276</v>
      </c>
      <c r="L7" s="68">
        <f t="shared" si="1"/>
        <v>1</v>
      </c>
      <c r="M7" s="46">
        <v>207</v>
      </c>
      <c r="N7">
        <v>0.75</v>
      </c>
    </row>
    <row r="8" spans="2:15" ht="15.6" customHeight="1" x14ac:dyDescent="0.25">
      <c r="B8" s="57">
        <f t="shared" si="2"/>
        <v>5</v>
      </c>
      <c r="C8" s="7" t="s">
        <v>15</v>
      </c>
      <c r="D8" s="43">
        <v>2056</v>
      </c>
      <c r="E8" s="67">
        <v>1171</v>
      </c>
      <c r="F8" s="9">
        <f t="shared" si="3"/>
        <v>1756.5</v>
      </c>
      <c r="G8" s="12">
        <v>145</v>
      </c>
      <c r="H8" s="9">
        <v>600</v>
      </c>
      <c r="I8" s="9">
        <v>290</v>
      </c>
      <c r="J8" s="9">
        <v>186</v>
      </c>
      <c r="K8" s="67">
        <f t="shared" si="0"/>
        <v>1221</v>
      </c>
      <c r="L8" s="68">
        <f t="shared" si="1"/>
        <v>1.0426985482493596</v>
      </c>
      <c r="M8" s="46">
        <v>1831.5</v>
      </c>
      <c r="N8">
        <v>1.5</v>
      </c>
    </row>
    <row r="9" spans="2:15" ht="15.6" customHeight="1" x14ac:dyDescent="0.25">
      <c r="B9" s="57">
        <f t="shared" si="2"/>
        <v>6</v>
      </c>
      <c r="C9" s="7" t="s">
        <v>16</v>
      </c>
      <c r="D9" s="43">
        <v>9281</v>
      </c>
      <c r="E9" s="67">
        <v>2924</v>
      </c>
      <c r="F9" s="9">
        <f t="shared" si="3"/>
        <v>4386</v>
      </c>
      <c r="G9" s="12">
        <v>1001</v>
      </c>
      <c r="H9" s="9">
        <v>298</v>
      </c>
      <c r="I9" s="9">
        <v>1606</v>
      </c>
      <c r="J9" s="9">
        <v>43</v>
      </c>
      <c r="K9" s="67">
        <f t="shared" si="0"/>
        <v>2948</v>
      </c>
      <c r="L9" s="68">
        <f t="shared" si="1"/>
        <v>1.0082079343365253</v>
      </c>
      <c r="M9" s="46">
        <v>4422</v>
      </c>
      <c r="N9">
        <v>1.5</v>
      </c>
    </row>
    <row r="10" spans="2:15" ht="15.6" customHeight="1" x14ac:dyDescent="0.25">
      <c r="B10" s="57">
        <f t="shared" si="2"/>
        <v>7</v>
      </c>
      <c r="C10" s="7" t="s">
        <v>17</v>
      </c>
      <c r="D10" s="43">
        <v>2832</v>
      </c>
      <c r="E10" s="67">
        <v>1290</v>
      </c>
      <c r="F10" s="9">
        <f t="shared" si="3"/>
        <v>1935</v>
      </c>
      <c r="G10" s="12">
        <v>2</v>
      </c>
      <c r="H10" s="9">
        <v>258</v>
      </c>
      <c r="I10" s="9">
        <v>1008</v>
      </c>
      <c r="J10" s="9">
        <v>22</v>
      </c>
      <c r="K10" s="67">
        <f t="shared" si="0"/>
        <v>1290</v>
      </c>
      <c r="L10" s="68">
        <f t="shared" si="1"/>
        <v>1</v>
      </c>
      <c r="M10" s="46">
        <v>1935</v>
      </c>
      <c r="N10">
        <v>1.5</v>
      </c>
    </row>
    <row r="11" spans="2:15" ht="15.6" customHeight="1" x14ac:dyDescent="0.25">
      <c r="B11" s="57">
        <f t="shared" si="2"/>
        <v>8</v>
      </c>
      <c r="C11" s="7" t="s">
        <v>18</v>
      </c>
      <c r="D11" s="27"/>
      <c r="E11" s="67"/>
      <c r="F11" s="9">
        <f t="shared" si="3"/>
        <v>0</v>
      </c>
      <c r="G11" s="12">
        <v>0</v>
      </c>
      <c r="H11" s="9">
        <v>0</v>
      </c>
      <c r="I11" s="9">
        <v>0</v>
      </c>
      <c r="J11" s="9">
        <v>0</v>
      </c>
      <c r="K11" s="67">
        <f t="shared" si="0"/>
        <v>0</v>
      </c>
      <c r="L11" s="68">
        <f t="shared" si="1"/>
        <v>0</v>
      </c>
      <c r="M11" s="46">
        <v>0</v>
      </c>
      <c r="N11">
        <v>1.5</v>
      </c>
    </row>
    <row r="12" spans="2:15" ht="15.6" customHeight="1" x14ac:dyDescent="0.25">
      <c r="B12" s="57">
        <f t="shared" si="2"/>
        <v>9</v>
      </c>
      <c r="C12" s="7" t="s">
        <v>19</v>
      </c>
      <c r="D12" s="27">
        <v>30</v>
      </c>
      <c r="E12" s="67"/>
      <c r="F12" s="9">
        <f t="shared" si="3"/>
        <v>0</v>
      </c>
      <c r="G12" s="12">
        <v>0</v>
      </c>
      <c r="H12" s="9">
        <v>0</v>
      </c>
      <c r="I12" s="9">
        <v>0</v>
      </c>
      <c r="J12" s="9">
        <v>0</v>
      </c>
      <c r="K12" s="67">
        <f t="shared" si="0"/>
        <v>0</v>
      </c>
      <c r="L12" s="68">
        <f t="shared" si="1"/>
        <v>0</v>
      </c>
      <c r="M12" s="46">
        <v>0</v>
      </c>
      <c r="N12">
        <v>1.5</v>
      </c>
    </row>
    <row r="13" spans="2:15" ht="15.6" customHeight="1" x14ac:dyDescent="0.25">
      <c r="B13" s="57">
        <f t="shared" si="2"/>
        <v>10</v>
      </c>
      <c r="C13" s="7" t="s">
        <v>20</v>
      </c>
      <c r="D13" s="27">
        <v>7993</v>
      </c>
      <c r="E13" s="67">
        <v>1332</v>
      </c>
      <c r="F13" s="9">
        <f t="shared" si="3"/>
        <v>1998</v>
      </c>
      <c r="G13" s="12">
        <v>202</v>
      </c>
      <c r="H13" s="9">
        <v>374</v>
      </c>
      <c r="I13" s="9">
        <v>636</v>
      </c>
      <c r="J13" s="9">
        <v>120</v>
      </c>
      <c r="K13" s="67">
        <f t="shared" si="0"/>
        <v>1332</v>
      </c>
      <c r="L13" s="68">
        <f t="shared" si="1"/>
        <v>1</v>
      </c>
      <c r="M13" s="46">
        <v>1998</v>
      </c>
      <c r="N13">
        <v>1.5</v>
      </c>
    </row>
    <row r="14" spans="2:15" ht="15.6" customHeight="1" x14ac:dyDescent="0.25">
      <c r="B14" s="57">
        <f t="shared" si="2"/>
        <v>11</v>
      </c>
      <c r="C14" s="7" t="s">
        <v>48</v>
      </c>
      <c r="D14" s="43">
        <v>1800</v>
      </c>
      <c r="E14" s="105">
        <v>2122</v>
      </c>
      <c r="F14" s="9">
        <f t="shared" si="3"/>
        <v>3183</v>
      </c>
      <c r="G14" s="12">
        <v>657</v>
      </c>
      <c r="H14" s="9">
        <v>357</v>
      </c>
      <c r="I14" s="9">
        <v>725</v>
      </c>
      <c r="J14" s="9">
        <v>244</v>
      </c>
      <c r="K14" s="67">
        <f t="shared" si="0"/>
        <v>1983</v>
      </c>
      <c r="L14" s="76">
        <f t="shared" si="1"/>
        <v>0.93449575871819035</v>
      </c>
      <c r="M14" s="46">
        <v>2974.5</v>
      </c>
      <c r="N14">
        <v>1.5</v>
      </c>
    </row>
    <row r="15" spans="2:15" ht="15.6" customHeight="1" x14ac:dyDescent="0.25">
      <c r="B15" s="57">
        <f t="shared" si="2"/>
        <v>12</v>
      </c>
      <c r="C15" s="7" t="s">
        <v>22</v>
      </c>
      <c r="D15" s="43">
        <v>1461</v>
      </c>
      <c r="E15" s="67"/>
      <c r="F15" s="9">
        <f>N15*E15</f>
        <v>0</v>
      </c>
      <c r="G15" s="12">
        <v>0</v>
      </c>
      <c r="H15" s="9">
        <v>593</v>
      </c>
      <c r="I15" s="9">
        <v>64</v>
      </c>
      <c r="J15" s="9">
        <v>0</v>
      </c>
      <c r="K15" s="67">
        <f t="shared" si="0"/>
        <v>657</v>
      </c>
      <c r="L15" s="68">
        <f t="shared" si="1"/>
        <v>0</v>
      </c>
      <c r="M15" s="46">
        <v>657</v>
      </c>
      <c r="N15">
        <v>1</v>
      </c>
    </row>
    <row r="16" spans="2:15" ht="15.6" customHeight="1" x14ac:dyDescent="0.25">
      <c r="B16" s="57">
        <f t="shared" si="2"/>
        <v>13</v>
      </c>
      <c r="C16" s="7" t="s">
        <v>23</v>
      </c>
      <c r="D16" s="43">
        <v>330</v>
      </c>
      <c r="E16" s="67">
        <v>28</v>
      </c>
      <c r="F16" s="9">
        <f>(3*20)+25</f>
        <v>85</v>
      </c>
      <c r="G16" s="12">
        <v>0</v>
      </c>
      <c r="H16" s="9">
        <v>0</v>
      </c>
      <c r="I16" s="9">
        <v>0</v>
      </c>
      <c r="J16" s="9">
        <v>28</v>
      </c>
      <c r="K16" s="67">
        <f t="shared" si="0"/>
        <v>28</v>
      </c>
      <c r="L16" s="68">
        <f t="shared" si="1"/>
        <v>1</v>
      </c>
      <c r="M16" s="39">
        <v>97.5</v>
      </c>
      <c r="N16">
        <v>30</v>
      </c>
    </row>
    <row r="17" spans="2:17" ht="15.6" customHeight="1" x14ac:dyDescent="0.25">
      <c r="B17" s="57">
        <f t="shared" si="2"/>
        <v>14</v>
      </c>
      <c r="C17" s="7" t="s">
        <v>24</v>
      </c>
      <c r="D17" s="43">
        <v>970</v>
      </c>
      <c r="E17" s="105">
        <v>865</v>
      </c>
      <c r="F17" s="9">
        <f>(765*4)+100</f>
        <v>3160</v>
      </c>
      <c r="G17" s="12">
        <v>865</v>
      </c>
      <c r="H17" s="9">
        <v>0</v>
      </c>
      <c r="I17" s="9">
        <v>0</v>
      </c>
      <c r="J17" s="9">
        <v>0</v>
      </c>
      <c r="K17" s="67">
        <f t="shared" si="0"/>
        <v>865</v>
      </c>
      <c r="L17" s="68">
        <f t="shared" si="1"/>
        <v>1</v>
      </c>
      <c r="M17" s="39">
        <v>3160</v>
      </c>
      <c r="N17">
        <v>4</v>
      </c>
    </row>
    <row r="18" spans="2:17" ht="15.6" customHeight="1" x14ac:dyDescent="0.25">
      <c r="B18" s="57">
        <f t="shared" si="2"/>
        <v>15</v>
      </c>
      <c r="C18" s="7" t="s">
        <v>25</v>
      </c>
      <c r="D18" s="43"/>
      <c r="E18" s="67"/>
      <c r="F18" s="9">
        <f>N18*E18</f>
        <v>0</v>
      </c>
      <c r="G18" s="9"/>
      <c r="H18" s="9"/>
      <c r="I18" s="9"/>
      <c r="J18" s="9"/>
      <c r="K18" s="67">
        <f t="shared" si="0"/>
        <v>0</v>
      </c>
      <c r="L18" s="68">
        <f t="shared" si="1"/>
        <v>0</v>
      </c>
      <c r="M18" s="39"/>
      <c r="N18">
        <v>1.5</v>
      </c>
    </row>
    <row r="19" spans="2:17" ht="15.6" customHeight="1" x14ac:dyDescent="0.25">
      <c r="B19" s="57">
        <f t="shared" si="2"/>
        <v>16</v>
      </c>
      <c r="C19" s="7" t="s">
        <v>26</v>
      </c>
      <c r="D19" s="43">
        <v>510</v>
      </c>
      <c r="E19" s="67"/>
      <c r="F19" s="9">
        <f>N19*E19</f>
        <v>0</v>
      </c>
      <c r="G19" s="9"/>
      <c r="H19" s="9"/>
      <c r="I19" s="9"/>
      <c r="J19" s="9"/>
      <c r="K19" s="67">
        <f t="shared" si="0"/>
        <v>0</v>
      </c>
      <c r="L19" s="68">
        <f t="shared" si="1"/>
        <v>0</v>
      </c>
      <c r="M19" s="46"/>
      <c r="N19">
        <v>1</v>
      </c>
    </row>
    <row r="20" spans="2:17" ht="15.6" customHeight="1" x14ac:dyDescent="0.25">
      <c r="B20" s="57">
        <v>17</v>
      </c>
      <c r="C20" s="7" t="s">
        <v>47</v>
      </c>
      <c r="D20" s="8"/>
      <c r="E20" s="67"/>
      <c r="F20" s="9">
        <f>N20*E20</f>
        <v>0</v>
      </c>
      <c r="G20" s="9"/>
      <c r="H20" s="9"/>
      <c r="I20" s="9"/>
      <c r="J20" s="9"/>
      <c r="K20" s="67">
        <f t="shared" si="0"/>
        <v>0</v>
      </c>
      <c r="L20" s="68">
        <f t="shared" si="1"/>
        <v>0</v>
      </c>
      <c r="M20" s="46"/>
      <c r="N20">
        <v>1.5</v>
      </c>
    </row>
    <row r="21" spans="2:17" ht="15.6" customHeight="1" x14ac:dyDescent="0.25">
      <c r="B21" s="57">
        <v>18</v>
      </c>
      <c r="C21" s="7" t="s">
        <v>27</v>
      </c>
      <c r="D21" s="8"/>
      <c r="E21" s="67"/>
      <c r="F21" s="9">
        <f>N21*E21</f>
        <v>0</v>
      </c>
      <c r="G21" s="9">
        <f>40+5061</f>
        <v>5101</v>
      </c>
      <c r="H21" s="9">
        <v>454</v>
      </c>
      <c r="I21" s="9"/>
      <c r="J21" s="9"/>
      <c r="K21" s="67">
        <f t="shared" si="0"/>
        <v>5555</v>
      </c>
      <c r="L21" s="68">
        <f t="shared" si="1"/>
        <v>0</v>
      </c>
      <c r="M21" s="46">
        <f>K21</f>
        <v>5555</v>
      </c>
      <c r="N21">
        <v>1</v>
      </c>
    </row>
    <row r="22" spans="2:17" ht="15.75" x14ac:dyDescent="0.25">
      <c r="B22" s="58"/>
      <c r="C22" s="18" t="s">
        <v>28</v>
      </c>
      <c r="D22" s="80">
        <f t="shared" ref="D22:F22" si="4">SUM(D4:D21)</f>
        <v>46802</v>
      </c>
      <c r="E22" s="81">
        <f t="shared" si="4"/>
        <v>18714</v>
      </c>
      <c r="F22" s="81">
        <f t="shared" si="4"/>
        <v>28027.3</v>
      </c>
      <c r="G22" s="20">
        <f t="shared" ref="G22:J22" si="5">SUM(G4:G20)</f>
        <v>5669</v>
      </c>
      <c r="H22" s="20">
        <f t="shared" si="5"/>
        <v>5866</v>
      </c>
      <c r="I22" s="20">
        <f t="shared" si="5"/>
        <v>6367</v>
      </c>
      <c r="J22" s="20">
        <f t="shared" si="5"/>
        <v>1203</v>
      </c>
      <c r="K22" s="22">
        <f>SUM(K3:K20)</f>
        <v>19105</v>
      </c>
      <c r="L22" s="73">
        <f>K22/E22</f>
        <v>1.0208934487549428</v>
      </c>
      <c r="M22" s="59">
        <f>SUM(M4:M20)</f>
        <v>28297.8</v>
      </c>
    </row>
    <row r="23" spans="2:17" ht="15.75" x14ac:dyDescent="0.25">
      <c r="B23" s="58"/>
      <c r="C23" s="21" t="s">
        <v>29</v>
      </c>
      <c r="D23" s="80"/>
      <c r="E23" s="81"/>
      <c r="F23" s="81"/>
      <c r="G23" s="20">
        <f>SUM(G4:G21)</f>
        <v>10770</v>
      </c>
      <c r="H23" s="20">
        <f>SUM(H4:H21)</f>
        <v>6320</v>
      </c>
      <c r="I23" s="20">
        <f>SUM(I4:I21)</f>
        <v>6367</v>
      </c>
      <c r="J23" s="20">
        <f>SUM(J4:J21)</f>
        <v>1203</v>
      </c>
      <c r="K23" s="22">
        <f>SUM(K4:K21)</f>
        <v>24660</v>
      </c>
      <c r="L23" s="74">
        <f>K23/E22</f>
        <v>1.3177300416800257</v>
      </c>
      <c r="M23" s="59">
        <f>SUM(M4:M21)</f>
        <v>33852.800000000003</v>
      </c>
    </row>
    <row r="24" spans="2:17" ht="15.75" x14ac:dyDescent="0.25">
      <c r="B24" s="60"/>
      <c r="C24" s="7" t="s">
        <v>30</v>
      </c>
      <c r="D24" s="82"/>
      <c r="E24" s="26">
        <v>11</v>
      </c>
      <c r="F24" s="26">
        <v>11</v>
      </c>
      <c r="G24" s="26">
        <v>2</v>
      </c>
      <c r="H24" s="26">
        <v>3</v>
      </c>
      <c r="I24" s="26">
        <v>5</v>
      </c>
      <c r="J24" s="26">
        <v>1</v>
      </c>
      <c r="K24" s="26">
        <f>G24+H24+I24+J24</f>
        <v>11</v>
      </c>
      <c r="L24" s="24"/>
      <c r="M24" s="62">
        <f>K24</f>
        <v>11</v>
      </c>
      <c r="Q24" s="77"/>
    </row>
    <row r="25" spans="2:17" ht="15.75" x14ac:dyDescent="0.25">
      <c r="B25" s="60"/>
      <c r="C25" s="23" t="s">
        <v>55</v>
      </c>
      <c r="D25" s="83"/>
      <c r="E25" s="85">
        <f>E22/E24</f>
        <v>1701.2727272727273</v>
      </c>
      <c r="F25" s="85">
        <f>F22/F24</f>
        <v>2547.9363636363637</v>
      </c>
      <c r="G25" s="8">
        <f t="shared" ref="G25:K25" si="6">G22/G24</f>
        <v>2834.5</v>
      </c>
      <c r="H25" s="8">
        <f t="shared" si="6"/>
        <v>1955.3333333333333</v>
      </c>
      <c r="I25" s="8">
        <f t="shared" si="6"/>
        <v>1273.4000000000001</v>
      </c>
      <c r="J25" s="8">
        <f t="shared" si="6"/>
        <v>1203</v>
      </c>
      <c r="K25" s="26">
        <f t="shared" si="6"/>
        <v>1736.8181818181818</v>
      </c>
      <c r="L25" s="24"/>
      <c r="M25" s="62">
        <f>M22/M24</f>
        <v>2572.5272727272727</v>
      </c>
    </row>
    <row r="26" spans="2:17" ht="15.75" thickBot="1" x14ac:dyDescent="0.3">
      <c r="B26" s="63"/>
      <c r="C26" s="64" t="s">
        <v>56</v>
      </c>
      <c r="D26" s="84"/>
      <c r="E26" s="86"/>
      <c r="F26" s="86"/>
      <c r="G26" s="65">
        <f>G23/G24</f>
        <v>5385</v>
      </c>
      <c r="H26" s="65">
        <f t="shared" ref="H26:J26" si="7">H23/H24</f>
        <v>2106.6666666666665</v>
      </c>
      <c r="I26" s="65">
        <f t="shared" si="7"/>
        <v>1273.4000000000001</v>
      </c>
      <c r="J26" s="65">
        <f t="shared" si="7"/>
        <v>1203</v>
      </c>
      <c r="K26" s="65">
        <f>K23/K24</f>
        <v>2241.818181818182</v>
      </c>
      <c r="L26" s="64"/>
      <c r="M26" s="66">
        <f>M23/M24</f>
        <v>3077.5272727272732</v>
      </c>
    </row>
    <row r="27" spans="2:17" x14ac:dyDescent="0.25">
      <c r="F27" s="42"/>
    </row>
    <row r="28" spans="2:17" x14ac:dyDescent="0.25">
      <c r="D28" s="42"/>
      <c r="F28" s="40"/>
    </row>
    <row r="29" spans="2:17" x14ac:dyDescent="0.25">
      <c r="D29" s="42"/>
      <c r="E29" s="79"/>
      <c r="F29" s="40"/>
    </row>
    <row r="30" spans="2:17" x14ac:dyDescent="0.25">
      <c r="D30" s="42"/>
    </row>
  </sheetData>
  <mergeCells count="6">
    <mergeCell ref="D22:D23"/>
    <mergeCell ref="E22:E23"/>
    <mergeCell ref="F22:F23"/>
    <mergeCell ref="D24:D26"/>
    <mergeCell ref="E25:E26"/>
    <mergeCell ref="F25:F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R55"/>
  <sheetViews>
    <sheetView tabSelected="1" zoomScale="80" zoomScaleNormal="8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P18" sqref="P18"/>
    </sheetView>
  </sheetViews>
  <sheetFormatPr defaultRowHeight="15" x14ac:dyDescent="0.25"/>
  <cols>
    <col min="2" max="2" width="7.7109375" customWidth="1"/>
    <col min="3" max="3" width="26.28515625" customWidth="1"/>
    <col min="4" max="4" width="11.28515625" hidden="1" customWidth="1"/>
    <col min="5" max="5" width="11.7109375" hidden="1" customWidth="1"/>
    <col min="6" max="6" width="11.42578125" customWidth="1"/>
    <col min="7" max="41" width="12.28515625" customWidth="1"/>
    <col min="42" max="43" width="14.140625" customWidth="1"/>
  </cols>
  <sheetData>
    <row r="2" spans="2:44" ht="18.75" x14ac:dyDescent="0.3">
      <c r="C2" s="1" t="s">
        <v>77</v>
      </c>
    </row>
    <row r="3" spans="2:44" ht="27" customHeight="1" x14ac:dyDescent="0.25">
      <c r="B3" s="93" t="s">
        <v>0</v>
      </c>
      <c r="C3" s="95" t="s">
        <v>1</v>
      </c>
      <c r="D3" s="4" t="s">
        <v>2</v>
      </c>
      <c r="E3" s="97" t="s">
        <v>32</v>
      </c>
      <c r="F3" s="99" t="s">
        <v>33</v>
      </c>
      <c r="G3" s="100"/>
      <c r="H3" s="101"/>
      <c r="I3" s="99" t="s">
        <v>36</v>
      </c>
      <c r="J3" s="100"/>
      <c r="K3" s="101"/>
      <c r="L3" s="99" t="s">
        <v>37</v>
      </c>
      <c r="M3" s="100"/>
      <c r="N3" s="101"/>
      <c r="O3" s="99" t="s">
        <v>40</v>
      </c>
      <c r="P3" s="100"/>
      <c r="Q3" s="101"/>
      <c r="R3" s="99" t="s">
        <v>46</v>
      </c>
      <c r="S3" s="100"/>
      <c r="T3" s="101"/>
      <c r="U3" s="99" t="s">
        <v>54</v>
      </c>
      <c r="V3" s="100"/>
      <c r="W3" s="101"/>
      <c r="X3" s="99" t="s">
        <v>57</v>
      </c>
      <c r="Y3" s="100"/>
      <c r="Z3" s="101"/>
      <c r="AA3" s="99" t="s">
        <v>59</v>
      </c>
      <c r="AB3" s="100"/>
      <c r="AC3" s="101"/>
      <c r="AD3" s="99" t="s">
        <v>61</v>
      </c>
      <c r="AE3" s="100"/>
      <c r="AF3" s="101"/>
      <c r="AG3" s="99" t="s">
        <v>64</v>
      </c>
      <c r="AH3" s="100"/>
      <c r="AI3" s="101"/>
      <c r="AJ3" s="99" t="s">
        <v>66</v>
      </c>
      <c r="AK3" s="100"/>
      <c r="AL3" s="101"/>
      <c r="AM3" s="99" t="s">
        <v>67</v>
      </c>
      <c r="AN3" s="100"/>
      <c r="AO3" s="101"/>
      <c r="AP3" s="102" t="s">
        <v>8</v>
      </c>
      <c r="AQ3" s="103"/>
      <c r="AR3" s="104"/>
    </row>
    <row r="4" spans="2:44" ht="27" customHeight="1" x14ac:dyDescent="0.25">
      <c r="B4" s="94"/>
      <c r="C4" s="96"/>
      <c r="D4" s="4"/>
      <c r="E4" s="98"/>
      <c r="F4" s="5" t="s">
        <v>34</v>
      </c>
      <c r="G4" s="5" t="s">
        <v>35</v>
      </c>
      <c r="H4" s="5" t="s">
        <v>9</v>
      </c>
      <c r="I4" s="5" t="s">
        <v>34</v>
      </c>
      <c r="J4" s="5" t="s">
        <v>35</v>
      </c>
      <c r="K4" s="5" t="s">
        <v>9</v>
      </c>
      <c r="L4" s="5" t="s">
        <v>34</v>
      </c>
      <c r="M4" s="5" t="s">
        <v>35</v>
      </c>
      <c r="N4" s="5" t="s">
        <v>9</v>
      </c>
      <c r="O4" s="5" t="s">
        <v>34</v>
      </c>
      <c r="P4" s="5" t="s">
        <v>35</v>
      </c>
      <c r="Q4" s="5" t="s">
        <v>9</v>
      </c>
      <c r="R4" s="5" t="s">
        <v>34</v>
      </c>
      <c r="S4" s="5" t="s">
        <v>35</v>
      </c>
      <c r="T4" s="5" t="s">
        <v>9</v>
      </c>
      <c r="U4" s="5" t="s">
        <v>34</v>
      </c>
      <c r="V4" s="5" t="s">
        <v>35</v>
      </c>
      <c r="W4" s="5" t="s">
        <v>9</v>
      </c>
      <c r="X4" s="5" t="s">
        <v>34</v>
      </c>
      <c r="Y4" s="5" t="s">
        <v>35</v>
      </c>
      <c r="Z4" s="5" t="s">
        <v>9</v>
      </c>
      <c r="AA4" s="5" t="s">
        <v>34</v>
      </c>
      <c r="AB4" s="5" t="s">
        <v>35</v>
      </c>
      <c r="AC4" s="5" t="s">
        <v>9</v>
      </c>
      <c r="AD4" s="5" t="s">
        <v>34</v>
      </c>
      <c r="AE4" s="5" t="s">
        <v>35</v>
      </c>
      <c r="AF4" s="5" t="s">
        <v>9</v>
      </c>
      <c r="AG4" s="5" t="s">
        <v>34</v>
      </c>
      <c r="AH4" s="5" t="s">
        <v>35</v>
      </c>
      <c r="AI4" s="5" t="s">
        <v>9</v>
      </c>
      <c r="AJ4" s="5" t="s">
        <v>34</v>
      </c>
      <c r="AK4" s="5" t="s">
        <v>35</v>
      </c>
      <c r="AL4" s="5" t="s">
        <v>9</v>
      </c>
      <c r="AM4" s="5" t="s">
        <v>34</v>
      </c>
      <c r="AN4" s="5" t="s">
        <v>35</v>
      </c>
      <c r="AO4" s="5" t="s">
        <v>9</v>
      </c>
      <c r="AP4" s="33" t="s">
        <v>34</v>
      </c>
      <c r="AQ4" s="33" t="s">
        <v>35</v>
      </c>
      <c r="AR4" s="33" t="s">
        <v>9</v>
      </c>
    </row>
    <row r="5" spans="2:44" ht="27" customHeight="1" x14ac:dyDescent="0.25">
      <c r="B5" s="6">
        <v>1</v>
      </c>
      <c r="C5" s="7" t="s">
        <v>11</v>
      </c>
      <c r="D5" s="8">
        <v>32580</v>
      </c>
      <c r="E5" s="8"/>
      <c r="F5" s="29">
        <v>3640</v>
      </c>
      <c r="G5" s="10">
        <v>3640</v>
      </c>
      <c r="H5" s="31">
        <f>IFERROR(G5/F5,0)</f>
        <v>1</v>
      </c>
      <c r="I5" s="9">
        <v>3640</v>
      </c>
      <c r="J5" s="12">
        <v>3660</v>
      </c>
      <c r="K5" s="31">
        <f>IFERROR(J5/I5,0)</f>
        <v>1.0054945054945055</v>
      </c>
      <c r="L5" s="10">
        <v>3625</v>
      </c>
      <c r="M5" s="10">
        <v>3625</v>
      </c>
      <c r="N5" s="31">
        <f>IFERROR(M5/L5,0)</f>
        <v>1</v>
      </c>
      <c r="O5" s="67">
        <v>1820</v>
      </c>
      <c r="P5" s="35">
        <v>1820</v>
      </c>
      <c r="Q5" s="31">
        <f>IFERROR(P5/O5,0)</f>
        <v>1</v>
      </c>
      <c r="R5" s="34">
        <v>2730</v>
      </c>
      <c r="S5" s="35">
        <v>2730</v>
      </c>
      <c r="T5" s="31">
        <f>IFERROR(S5/R5,0)</f>
        <v>1</v>
      </c>
      <c r="U5" s="34"/>
      <c r="V5" s="35"/>
      <c r="W5" s="31">
        <f>IFERROR(V5/U5,0)</f>
        <v>0</v>
      </c>
      <c r="X5" s="10"/>
      <c r="Y5" s="10"/>
      <c r="Z5" s="31">
        <f>IFERROR(Y5/X5,0)</f>
        <v>0</v>
      </c>
      <c r="AA5" s="10"/>
      <c r="AB5" s="10"/>
      <c r="AC5" s="31">
        <f>IFERROR(AB5/AA5,0)</f>
        <v>0</v>
      </c>
      <c r="AD5" s="10"/>
      <c r="AE5" s="10"/>
      <c r="AF5" s="31">
        <f>IFERROR(AE5/AD5,0)</f>
        <v>0</v>
      </c>
      <c r="AG5" s="10"/>
      <c r="AH5" s="10"/>
      <c r="AI5" s="31">
        <f>IFERROR(AH5/AG5,0)</f>
        <v>0</v>
      </c>
      <c r="AJ5" s="10"/>
      <c r="AK5" s="10"/>
      <c r="AL5" s="31">
        <f t="shared" ref="AL5:AL22" si="0">IFERROR(AK5/AJ5,0)</f>
        <v>0</v>
      </c>
      <c r="AM5" s="10"/>
      <c r="AN5" s="10"/>
      <c r="AO5" s="31">
        <f t="shared" ref="AO5:AO22" si="1">IFERROR(AN5/AM5,0)</f>
        <v>0</v>
      </c>
      <c r="AP5" s="13">
        <f>F5+I5+L5+O5+R5+U5+X5+AA5+AD5+AG5+AJ5+AM5</f>
        <v>15455</v>
      </c>
      <c r="AQ5" s="13">
        <f>G5+J5+M5+P5+S5+V5+Y5+AB5+AE5+AH5+AK5+AN5</f>
        <v>15475</v>
      </c>
      <c r="AR5" s="31">
        <f>IFERROR(AQ5/AP5,0)</f>
        <v>1.0012940795858944</v>
      </c>
    </row>
    <row r="6" spans="2:44" ht="21" customHeight="1" x14ac:dyDescent="0.25">
      <c r="B6" s="6">
        <f>B5+1</f>
        <v>2</v>
      </c>
      <c r="C6" s="7" t="s">
        <v>12</v>
      </c>
      <c r="D6" s="8">
        <v>24192</v>
      </c>
      <c r="E6" s="14"/>
      <c r="F6" s="29">
        <v>2744</v>
      </c>
      <c r="G6" s="10">
        <v>2744</v>
      </c>
      <c r="H6" s="31">
        <f t="shared" ref="H6:H22" si="2">IFERROR(G6/F6,0)</f>
        <v>1</v>
      </c>
      <c r="I6" s="9">
        <v>1848</v>
      </c>
      <c r="J6" s="12">
        <v>1848</v>
      </c>
      <c r="K6" s="31">
        <f t="shared" ref="K6:K22" si="3">IFERROR(J6/I6,0)</f>
        <v>1</v>
      </c>
      <c r="L6" s="10">
        <v>2016</v>
      </c>
      <c r="M6" s="10">
        <v>2212</v>
      </c>
      <c r="N6" s="31">
        <f t="shared" ref="N6:N22" si="4">IFERROR(M6/L6,0)</f>
        <v>1.0972222222222223</v>
      </c>
      <c r="O6" s="67">
        <v>1820</v>
      </c>
      <c r="P6" s="35">
        <v>2176</v>
      </c>
      <c r="Q6" s="31">
        <f t="shared" ref="Q6:Q22" si="5">IFERROR(P6/O6,0)</f>
        <v>1.1956043956043956</v>
      </c>
      <c r="R6" s="34">
        <v>4068</v>
      </c>
      <c r="S6" s="35">
        <v>3867</v>
      </c>
      <c r="T6" s="31">
        <f t="shared" ref="T6:T22" si="6">IFERROR(S6/R6,0)</f>
        <v>0.95058997050147498</v>
      </c>
      <c r="U6" s="34"/>
      <c r="V6" s="35"/>
      <c r="W6" s="31">
        <f t="shared" ref="W6:W22" si="7">IFERROR(V6/U6,0)</f>
        <v>0</v>
      </c>
      <c r="X6" s="10"/>
      <c r="Y6" s="10"/>
      <c r="Z6" s="31">
        <f t="shared" ref="Z6:Z22" si="8">IFERROR(Y6/X6,0)</f>
        <v>0</v>
      </c>
      <c r="AA6" s="10"/>
      <c r="AB6" s="10"/>
      <c r="AC6" s="31">
        <f t="shared" ref="AC6:AC22" si="9">IFERROR(AB6/AA6,0)</f>
        <v>0</v>
      </c>
      <c r="AD6" s="10"/>
      <c r="AE6" s="10"/>
      <c r="AF6" s="31">
        <f t="shared" ref="AF6:AF22" si="10">IFERROR(AE6/AD6,0)</f>
        <v>0</v>
      </c>
      <c r="AG6" s="10"/>
      <c r="AH6" s="10"/>
      <c r="AI6" s="31">
        <f t="shared" ref="AI6:AI22" si="11">IFERROR(AH6/AG6,0)</f>
        <v>0</v>
      </c>
      <c r="AJ6" s="10"/>
      <c r="AK6" s="10"/>
      <c r="AL6" s="31">
        <f t="shared" si="0"/>
        <v>0</v>
      </c>
      <c r="AM6" s="10"/>
      <c r="AN6" s="10"/>
      <c r="AO6" s="31">
        <f t="shared" si="1"/>
        <v>0</v>
      </c>
      <c r="AP6" s="13">
        <f t="shared" ref="AP6:AP22" si="12">F6+I6+L6+O6+R6+U6+X6+AA6+AD6+AG6+AJ6+AM6</f>
        <v>12496</v>
      </c>
      <c r="AQ6" s="13">
        <f t="shared" ref="AQ6:AQ22" si="13">G6+J6+M6+P6+S6+V6+Y6+AB6+AE6+AH6+AK6+AN6</f>
        <v>12847</v>
      </c>
      <c r="AR6" s="31">
        <f t="shared" ref="AR6:AR22" si="14">IFERROR(AQ6/AP6,0)</f>
        <v>1.0280889884763125</v>
      </c>
    </row>
    <row r="7" spans="2:44" ht="15.6" customHeight="1" x14ac:dyDescent="0.25">
      <c r="B7" s="6">
        <f t="shared" ref="B7:B22" si="15">B6+1</f>
        <v>3</v>
      </c>
      <c r="C7" s="7" t="s">
        <v>13</v>
      </c>
      <c r="D7" s="8">
        <v>81041</v>
      </c>
      <c r="E7" s="14"/>
      <c r="F7" s="29">
        <v>2600</v>
      </c>
      <c r="G7" s="10">
        <v>2600</v>
      </c>
      <c r="H7" s="31">
        <f t="shared" si="2"/>
        <v>1</v>
      </c>
      <c r="I7" s="9">
        <v>3050</v>
      </c>
      <c r="J7" s="12">
        <v>3051</v>
      </c>
      <c r="K7" s="31">
        <f t="shared" si="3"/>
        <v>1.0003278688524591</v>
      </c>
      <c r="L7" s="10">
        <v>4050</v>
      </c>
      <c r="M7" s="10">
        <v>3984</v>
      </c>
      <c r="N7" s="31">
        <f t="shared" si="4"/>
        <v>0.98370370370370375</v>
      </c>
      <c r="O7" s="67">
        <v>6320</v>
      </c>
      <c r="P7" s="35">
        <v>6320</v>
      </c>
      <c r="Q7" s="31">
        <f t="shared" si="5"/>
        <v>1</v>
      </c>
      <c r="R7" s="34">
        <v>1908</v>
      </c>
      <c r="S7" s="35">
        <v>1908</v>
      </c>
      <c r="T7" s="31">
        <f t="shared" si="6"/>
        <v>1</v>
      </c>
      <c r="U7" s="34"/>
      <c r="V7" s="35"/>
      <c r="W7" s="31">
        <f t="shared" si="7"/>
        <v>0</v>
      </c>
      <c r="X7" s="10"/>
      <c r="Y7" s="10"/>
      <c r="Z7" s="31">
        <f t="shared" si="8"/>
        <v>0</v>
      </c>
      <c r="AA7" s="10"/>
      <c r="AB7" s="10"/>
      <c r="AC7" s="31">
        <f t="shared" si="9"/>
        <v>0</v>
      </c>
      <c r="AD7" s="10"/>
      <c r="AE7" s="10"/>
      <c r="AF7" s="31">
        <f t="shared" si="10"/>
        <v>0</v>
      </c>
      <c r="AG7" s="10"/>
      <c r="AH7" s="10"/>
      <c r="AI7" s="31">
        <f t="shared" si="11"/>
        <v>0</v>
      </c>
      <c r="AJ7" s="10"/>
      <c r="AK7" s="10"/>
      <c r="AL7" s="31">
        <f t="shared" si="0"/>
        <v>0</v>
      </c>
      <c r="AM7" s="10"/>
      <c r="AN7" s="10"/>
      <c r="AO7" s="31">
        <f t="shared" si="1"/>
        <v>0</v>
      </c>
      <c r="AP7" s="13">
        <f t="shared" si="12"/>
        <v>17928</v>
      </c>
      <c r="AQ7" s="13">
        <f t="shared" si="13"/>
        <v>17863</v>
      </c>
      <c r="AR7" s="31">
        <f t="shared" si="14"/>
        <v>0.99637438643462739</v>
      </c>
    </row>
    <row r="8" spans="2:44" ht="15.6" customHeight="1" x14ac:dyDescent="0.25">
      <c r="B8" s="15">
        <f t="shared" si="15"/>
        <v>4</v>
      </c>
      <c r="C8" s="7" t="s">
        <v>14</v>
      </c>
      <c r="D8" s="8">
        <v>86039</v>
      </c>
      <c r="E8" s="14"/>
      <c r="F8" s="30">
        <v>0</v>
      </c>
      <c r="G8" s="10">
        <v>0</v>
      </c>
      <c r="H8" s="31">
        <f t="shared" si="2"/>
        <v>0</v>
      </c>
      <c r="I8" s="9">
        <v>3000</v>
      </c>
      <c r="J8" s="12">
        <v>3000</v>
      </c>
      <c r="K8" s="31">
        <f t="shared" si="3"/>
        <v>1</v>
      </c>
      <c r="L8" s="10">
        <v>7915</v>
      </c>
      <c r="M8" s="10">
        <v>7915</v>
      </c>
      <c r="N8" s="31">
        <f t="shared" si="4"/>
        <v>1</v>
      </c>
      <c r="O8" s="67">
        <v>5000</v>
      </c>
      <c r="P8" s="35">
        <v>4994</v>
      </c>
      <c r="Q8" s="31">
        <f t="shared" si="5"/>
        <v>0.99880000000000002</v>
      </c>
      <c r="R8" s="34">
        <v>276</v>
      </c>
      <c r="S8" s="35">
        <v>276</v>
      </c>
      <c r="T8" s="31">
        <f t="shared" si="6"/>
        <v>1</v>
      </c>
      <c r="U8" s="34"/>
      <c r="V8" s="35"/>
      <c r="W8" s="31">
        <f t="shared" si="7"/>
        <v>0</v>
      </c>
      <c r="X8" s="10"/>
      <c r="Y8" s="10"/>
      <c r="Z8" s="31">
        <f t="shared" si="8"/>
        <v>0</v>
      </c>
      <c r="AA8" s="10"/>
      <c r="AB8" s="10"/>
      <c r="AC8" s="31">
        <f t="shared" si="9"/>
        <v>0</v>
      </c>
      <c r="AD8" s="10"/>
      <c r="AE8" s="10"/>
      <c r="AF8" s="31">
        <f t="shared" si="10"/>
        <v>0</v>
      </c>
      <c r="AG8" s="10"/>
      <c r="AH8" s="10"/>
      <c r="AI8" s="31">
        <f t="shared" si="11"/>
        <v>0</v>
      </c>
      <c r="AJ8" s="10"/>
      <c r="AK8" s="10"/>
      <c r="AL8" s="31">
        <f t="shared" si="0"/>
        <v>0</v>
      </c>
      <c r="AM8" s="10"/>
      <c r="AN8" s="10"/>
      <c r="AO8" s="31">
        <f t="shared" si="1"/>
        <v>0</v>
      </c>
      <c r="AP8" s="13">
        <f t="shared" si="12"/>
        <v>16191</v>
      </c>
      <c r="AQ8" s="13">
        <f t="shared" si="13"/>
        <v>16185</v>
      </c>
      <c r="AR8" s="31">
        <f t="shared" si="14"/>
        <v>0.99962942375393737</v>
      </c>
    </row>
    <row r="9" spans="2:44" ht="15.6" customHeight="1" x14ac:dyDescent="0.25">
      <c r="B9" s="15">
        <f t="shared" si="15"/>
        <v>5</v>
      </c>
      <c r="C9" s="7" t="s">
        <v>15</v>
      </c>
      <c r="D9" s="8">
        <v>51544</v>
      </c>
      <c r="E9" s="14"/>
      <c r="F9" s="30">
        <v>1846</v>
      </c>
      <c r="G9" s="10">
        <v>1726</v>
      </c>
      <c r="H9" s="31">
        <f t="shared" si="2"/>
        <v>0.93499458288190684</v>
      </c>
      <c r="I9" s="9">
        <f>1122+120</f>
        <v>1242</v>
      </c>
      <c r="J9" s="12">
        <v>1242</v>
      </c>
      <c r="K9" s="31">
        <f t="shared" si="3"/>
        <v>1</v>
      </c>
      <c r="L9" s="10">
        <v>2328</v>
      </c>
      <c r="M9" s="10">
        <v>2329</v>
      </c>
      <c r="N9" s="31">
        <f t="shared" si="4"/>
        <v>1.0004295532646048</v>
      </c>
      <c r="O9" s="67">
        <v>650</v>
      </c>
      <c r="P9" s="35">
        <v>650</v>
      </c>
      <c r="Q9" s="31">
        <f t="shared" si="5"/>
        <v>1</v>
      </c>
      <c r="R9" s="34">
        <v>1171</v>
      </c>
      <c r="S9" s="35">
        <v>1221</v>
      </c>
      <c r="T9" s="31">
        <f t="shared" si="6"/>
        <v>1.0426985482493596</v>
      </c>
      <c r="U9" s="34"/>
      <c r="V9" s="35"/>
      <c r="W9" s="31">
        <f t="shared" si="7"/>
        <v>0</v>
      </c>
      <c r="X9" s="10"/>
      <c r="Y9" s="10"/>
      <c r="Z9" s="31">
        <f t="shared" si="8"/>
        <v>0</v>
      </c>
      <c r="AA9" s="10"/>
      <c r="AB9" s="10"/>
      <c r="AC9" s="31">
        <f t="shared" si="9"/>
        <v>0</v>
      </c>
      <c r="AD9" s="10"/>
      <c r="AE9" s="10"/>
      <c r="AF9" s="31">
        <f t="shared" si="10"/>
        <v>0</v>
      </c>
      <c r="AG9" s="10"/>
      <c r="AH9" s="10"/>
      <c r="AI9" s="31">
        <f t="shared" si="11"/>
        <v>0</v>
      </c>
      <c r="AJ9" s="10"/>
      <c r="AK9" s="10"/>
      <c r="AL9" s="31">
        <f t="shared" si="0"/>
        <v>0</v>
      </c>
      <c r="AM9" s="10"/>
      <c r="AN9" s="10"/>
      <c r="AO9" s="31">
        <f t="shared" si="1"/>
        <v>0</v>
      </c>
      <c r="AP9" s="69">
        <f t="shared" si="12"/>
        <v>7237</v>
      </c>
      <c r="AQ9" s="13">
        <f t="shared" si="13"/>
        <v>7168</v>
      </c>
      <c r="AR9" s="31">
        <f t="shared" si="14"/>
        <v>0.99046566256736213</v>
      </c>
    </row>
    <row r="10" spans="2:44" ht="15.6" customHeight="1" x14ac:dyDescent="0.25">
      <c r="B10" s="15">
        <f t="shared" si="15"/>
        <v>6</v>
      </c>
      <c r="C10" s="7" t="s">
        <v>16</v>
      </c>
      <c r="D10" s="8">
        <v>101433</v>
      </c>
      <c r="E10" s="14"/>
      <c r="F10" s="30">
        <v>14769</v>
      </c>
      <c r="G10" s="10">
        <v>14069</v>
      </c>
      <c r="H10" s="31">
        <f t="shared" si="2"/>
        <v>0.95260342609519943</v>
      </c>
      <c r="I10" s="9">
        <f>7774+700</f>
        <v>8474</v>
      </c>
      <c r="J10" s="12">
        <v>8566</v>
      </c>
      <c r="K10" s="31">
        <f t="shared" si="3"/>
        <v>1.0108567382582017</v>
      </c>
      <c r="L10" s="10">
        <v>12244</v>
      </c>
      <c r="M10" s="10">
        <v>12244</v>
      </c>
      <c r="N10" s="31">
        <f t="shared" si="4"/>
        <v>1</v>
      </c>
      <c r="O10" s="67">
        <v>8010</v>
      </c>
      <c r="P10" s="35">
        <v>8187</v>
      </c>
      <c r="Q10" s="31">
        <f t="shared" si="5"/>
        <v>1.0220973782771536</v>
      </c>
      <c r="R10" s="34">
        <v>2924</v>
      </c>
      <c r="S10" s="35">
        <v>2948</v>
      </c>
      <c r="T10" s="31">
        <f t="shared" si="6"/>
        <v>1.0082079343365253</v>
      </c>
      <c r="U10" s="34"/>
      <c r="V10" s="35"/>
      <c r="W10" s="31">
        <f t="shared" si="7"/>
        <v>0</v>
      </c>
      <c r="X10" s="10"/>
      <c r="Y10" s="10"/>
      <c r="Z10" s="31">
        <f t="shared" si="8"/>
        <v>0</v>
      </c>
      <c r="AA10" s="10"/>
      <c r="AB10" s="10"/>
      <c r="AC10" s="31">
        <f t="shared" si="9"/>
        <v>0</v>
      </c>
      <c r="AD10" s="10"/>
      <c r="AE10" s="10"/>
      <c r="AF10" s="31">
        <f t="shared" si="10"/>
        <v>0</v>
      </c>
      <c r="AG10" s="10"/>
      <c r="AH10" s="10"/>
      <c r="AI10" s="31">
        <f t="shared" si="11"/>
        <v>0</v>
      </c>
      <c r="AJ10" s="10"/>
      <c r="AK10" s="10"/>
      <c r="AL10" s="31">
        <f t="shared" si="0"/>
        <v>0</v>
      </c>
      <c r="AM10" s="10"/>
      <c r="AN10" s="10"/>
      <c r="AO10" s="31">
        <f t="shared" si="1"/>
        <v>0</v>
      </c>
      <c r="AP10" s="13">
        <f t="shared" si="12"/>
        <v>46421</v>
      </c>
      <c r="AQ10" s="13">
        <f t="shared" si="13"/>
        <v>46014</v>
      </c>
      <c r="AR10" s="31">
        <f t="shared" si="14"/>
        <v>0.99123241636328385</v>
      </c>
    </row>
    <row r="11" spans="2:44" ht="15.6" customHeight="1" x14ac:dyDescent="0.25">
      <c r="B11" s="15">
        <f t="shared" si="15"/>
        <v>7</v>
      </c>
      <c r="C11" s="7" t="s">
        <v>17</v>
      </c>
      <c r="D11" s="8">
        <v>39686</v>
      </c>
      <c r="E11" s="14"/>
      <c r="F11" s="30">
        <v>2199</v>
      </c>
      <c r="G11" s="10">
        <v>2214</v>
      </c>
      <c r="H11" s="31">
        <f t="shared" si="2"/>
        <v>1.0068212824010914</v>
      </c>
      <c r="I11" s="9">
        <v>1153</v>
      </c>
      <c r="J11" s="12">
        <v>1156</v>
      </c>
      <c r="K11" s="31">
        <f t="shared" si="3"/>
        <v>1.002601908065915</v>
      </c>
      <c r="L11" s="10">
        <v>570</v>
      </c>
      <c r="M11" s="10">
        <v>753</v>
      </c>
      <c r="N11" s="31">
        <f t="shared" si="4"/>
        <v>1.3210526315789475</v>
      </c>
      <c r="O11" s="67">
        <v>780</v>
      </c>
      <c r="P11" s="35">
        <v>900</v>
      </c>
      <c r="Q11" s="31">
        <f t="shared" si="5"/>
        <v>1.1538461538461537</v>
      </c>
      <c r="R11" s="34">
        <v>1290</v>
      </c>
      <c r="S11" s="35">
        <v>1290</v>
      </c>
      <c r="T11" s="31">
        <f t="shared" si="6"/>
        <v>1</v>
      </c>
      <c r="U11" s="34"/>
      <c r="V11" s="35"/>
      <c r="W11" s="31">
        <f t="shared" si="7"/>
        <v>0</v>
      </c>
      <c r="X11" s="10"/>
      <c r="Y11" s="10"/>
      <c r="Z11" s="31">
        <f t="shared" si="8"/>
        <v>0</v>
      </c>
      <c r="AA11" s="10"/>
      <c r="AB11" s="10"/>
      <c r="AC11" s="31">
        <f t="shared" si="9"/>
        <v>0</v>
      </c>
      <c r="AD11" s="10"/>
      <c r="AE11" s="10"/>
      <c r="AF11" s="31">
        <f t="shared" si="10"/>
        <v>0</v>
      </c>
      <c r="AG11" s="10"/>
      <c r="AH11" s="10"/>
      <c r="AI11" s="31">
        <f t="shared" si="11"/>
        <v>0</v>
      </c>
      <c r="AJ11" s="10"/>
      <c r="AK11" s="10"/>
      <c r="AL11" s="31">
        <f t="shared" si="0"/>
        <v>0</v>
      </c>
      <c r="AM11" s="10"/>
      <c r="AN11" s="10"/>
      <c r="AO11" s="31">
        <f t="shared" si="1"/>
        <v>0</v>
      </c>
      <c r="AP11" s="69">
        <f t="shared" si="12"/>
        <v>5992</v>
      </c>
      <c r="AQ11" s="13">
        <f t="shared" si="13"/>
        <v>6313</v>
      </c>
      <c r="AR11" s="31">
        <f t="shared" si="14"/>
        <v>1.0535714285714286</v>
      </c>
    </row>
    <row r="12" spans="2:44" ht="15.6" customHeight="1" x14ac:dyDescent="0.25">
      <c r="B12" s="15">
        <f t="shared" si="15"/>
        <v>8</v>
      </c>
      <c r="C12" s="7" t="s">
        <v>18</v>
      </c>
      <c r="D12" s="8"/>
      <c r="E12" s="14"/>
      <c r="F12" s="30">
        <v>0</v>
      </c>
      <c r="G12" s="10">
        <v>0</v>
      </c>
      <c r="H12" s="31">
        <f t="shared" si="2"/>
        <v>0</v>
      </c>
      <c r="I12" s="9"/>
      <c r="J12" s="12">
        <v>0</v>
      </c>
      <c r="K12" s="31">
        <f t="shared" si="3"/>
        <v>0</v>
      </c>
      <c r="L12" s="10"/>
      <c r="M12" s="10">
        <v>0</v>
      </c>
      <c r="N12" s="31">
        <f t="shared" si="4"/>
        <v>0</v>
      </c>
      <c r="O12" s="67"/>
      <c r="P12" s="35">
        <v>0</v>
      </c>
      <c r="Q12" s="31">
        <f t="shared" si="5"/>
        <v>0</v>
      </c>
      <c r="R12" s="34"/>
      <c r="S12" s="35">
        <v>0</v>
      </c>
      <c r="T12" s="31">
        <f t="shared" si="6"/>
        <v>0</v>
      </c>
      <c r="U12" s="34"/>
      <c r="V12" s="35"/>
      <c r="W12" s="31">
        <f t="shared" si="7"/>
        <v>0</v>
      </c>
      <c r="X12" s="10"/>
      <c r="Y12" s="10"/>
      <c r="Z12" s="31">
        <f t="shared" si="8"/>
        <v>0</v>
      </c>
      <c r="AA12" s="10"/>
      <c r="AB12" s="10"/>
      <c r="AC12" s="31">
        <f t="shared" si="9"/>
        <v>0</v>
      </c>
      <c r="AD12" s="10"/>
      <c r="AE12" s="10"/>
      <c r="AF12" s="31">
        <f t="shared" si="10"/>
        <v>0</v>
      </c>
      <c r="AG12" s="10"/>
      <c r="AH12" s="10"/>
      <c r="AI12" s="31">
        <f t="shared" si="11"/>
        <v>0</v>
      </c>
      <c r="AJ12" s="10"/>
      <c r="AK12" s="10"/>
      <c r="AL12" s="31">
        <f t="shared" si="0"/>
        <v>0</v>
      </c>
      <c r="AM12" s="10"/>
      <c r="AN12" s="10"/>
      <c r="AO12" s="31">
        <f t="shared" si="1"/>
        <v>0</v>
      </c>
      <c r="AP12" s="13">
        <f t="shared" si="12"/>
        <v>0</v>
      </c>
      <c r="AQ12" s="13">
        <f t="shared" si="13"/>
        <v>0</v>
      </c>
      <c r="AR12" s="31">
        <f t="shared" si="14"/>
        <v>0</v>
      </c>
    </row>
    <row r="13" spans="2:44" ht="15.6" customHeight="1" x14ac:dyDescent="0.25">
      <c r="B13" s="15">
        <f t="shared" si="15"/>
        <v>9</v>
      </c>
      <c r="C13" s="7" t="s">
        <v>19</v>
      </c>
      <c r="D13" s="8"/>
      <c r="E13" s="14"/>
      <c r="F13" s="30">
        <v>0</v>
      </c>
      <c r="G13" s="10">
        <v>0</v>
      </c>
      <c r="H13" s="31">
        <f t="shared" si="2"/>
        <v>0</v>
      </c>
      <c r="I13" s="9"/>
      <c r="J13" s="12">
        <v>0</v>
      </c>
      <c r="K13" s="31">
        <f t="shared" si="3"/>
        <v>0</v>
      </c>
      <c r="L13" s="10"/>
      <c r="M13" s="10">
        <v>10</v>
      </c>
      <c r="N13" s="31">
        <f t="shared" si="4"/>
        <v>0</v>
      </c>
      <c r="O13" s="67"/>
      <c r="P13" s="35">
        <v>0</v>
      </c>
      <c r="Q13" s="31">
        <f t="shared" si="5"/>
        <v>0</v>
      </c>
      <c r="R13" s="34"/>
      <c r="S13" s="35">
        <v>0</v>
      </c>
      <c r="T13" s="31">
        <f t="shared" si="6"/>
        <v>0</v>
      </c>
      <c r="U13" s="34"/>
      <c r="V13" s="35"/>
      <c r="W13" s="31">
        <f t="shared" si="7"/>
        <v>0</v>
      </c>
      <c r="X13" s="10"/>
      <c r="Y13" s="10"/>
      <c r="Z13" s="31">
        <f t="shared" si="8"/>
        <v>0</v>
      </c>
      <c r="AA13" s="10"/>
      <c r="AB13" s="10"/>
      <c r="AC13" s="31">
        <f t="shared" si="9"/>
        <v>0</v>
      </c>
      <c r="AD13" s="10"/>
      <c r="AE13" s="10"/>
      <c r="AF13" s="31">
        <f t="shared" si="10"/>
        <v>0</v>
      </c>
      <c r="AG13" s="10"/>
      <c r="AH13" s="10"/>
      <c r="AI13" s="31">
        <f t="shared" si="11"/>
        <v>0</v>
      </c>
      <c r="AJ13" s="10"/>
      <c r="AK13" s="10"/>
      <c r="AL13" s="31">
        <f t="shared" si="0"/>
        <v>0</v>
      </c>
      <c r="AM13" s="10"/>
      <c r="AN13" s="10"/>
      <c r="AO13" s="31">
        <f t="shared" si="1"/>
        <v>0</v>
      </c>
      <c r="AP13" s="69">
        <f t="shared" si="12"/>
        <v>0</v>
      </c>
      <c r="AQ13" s="13">
        <f t="shared" si="13"/>
        <v>10</v>
      </c>
      <c r="AR13" s="31">
        <f t="shared" si="14"/>
        <v>0</v>
      </c>
    </row>
    <row r="14" spans="2:44" ht="15.6" customHeight="1" x14ac:dyDescent="0.25">
      <c r="B14" s="15">
        <f t="shared" si="15"/>
        <v>10</v>
      </c>
      <c r="C14" s="7" t="s">
        <v>20</v>
      </c>
      <c r="D14" s="8">
        <v>182592</v>
      </c>
      <c r="E14" s="14"/>
      <c r="F14" s="30">
        <v>1958</v>
      </c>
      <c r="G14" s="10">
        <v>1958</v>
      </c>
      <c r="H14" s="31">
        <f t="shared" si="2"/>
        <v>1</v>
      </c>
      <c r="I14" s="9">
        <v>3335</v>
      </c>
      <c r="J14" s="12">
        <v>3385</v>
      </c>
      <c r="K14" s="31">
        <f t="shared" si="3"/>
        <v>1.014992503748126</v>
      </c>
      <c r="L14" s="10">
        <v>1490</v>
      </c>
      <c r="M14" s="10">
        <v>1678</v>
      </c>
      <c r="N14" s="31">
        <f t="shared" si="4"/>
        <v>1.1261744966442953</v>
      </c>
      <c r="O14" s="67">
        <v>1386</v>
      </c>
      <c r="P14" s="35">
        <v>1386</v>
      </c>
      <c r="Q14" s="31">
        <f t="shared" si="5"/>
        <v>1</v>
      </c>
      <c r="R14" s="34">
        <v>1332</v>
      </c>
      <c r="S14" s="35">
        <v>1332</v>
      </c>
      <c r="T14" s="31">
        <f t="shared" si="6"/>
        <v>1</v>
      </c>
      <c r="U14" s="34"/>
      <c r="V14" s="35"/>
      <c r="W14" s="31">
        <f t="shared" si="7"/>
        <v>0</v>
      </c>
      <c r="X14" s="10"/>
      <c r="Y14" s="10"/>
      <c r="Z14" s="31">
        <f t="shared" si="8"/>
        <v>0</v>
      </c>
      <c r="AA14" s="10"/>
      <c r="AB14" s="10"/>
      <c r="AC14" s="31">
        <f t="shared" si="9"/>
        <v>0</v>
      </c>
      <c r="AD14" s="10"/>
      <c r="AE14" s="10"/>
      <c r="AF14" s="31">
        <f t="shared" si="10"/>
        <v>0</v>
      </c>
      <c r="AG14" s="10"/>
      <c r="AH14" s="10"/>
      <c r="AI14" s="31">
        <f t="shared" si="11"/>
        <v>0</v>
      </c>
      <c r="AJ14" s="10"/>
      <c r="AK14" s="10"/>
      <c r="AL14" s="31">
        <f t="shared" si="0"/>
        <v>0</v>
      </c>
      <c r="AM14" s="10"/>
      <c r="AN14" s="10"/>
      <c r="AO14" s="31">
        <f t="shared" si="1"/>
        <v>0</v>
      </c>
      <c r="AP14" s="13">
        <f t="shared" si="12"/>
        <v>9501</v>
      </c>
      <c r="AQ14" s="13">
        <f t="shared" si="13"/>
        <v>9739</v>
      </c>
      <c r="AR14" s="31">
        <f t="shared" si="14"/>
        <v>1.0250499947373961</v>
      </c>
    </row>
    <row r="15" spans="2:44" ht="15.6" customHeight="1" x14ac:dyDescent="0.25">
      <c r="B15" s="15">
        <f t="shared" si="15"/>
        <v>11</v>
      </c>
      <c r="C15" s="7" t="s">
        <v>68</v>
      </c>
      <c r="D15" s="8">
        <v>22500</v>
      </c>
      <c r="E15" s="8"/>
      <c r="F15" s="30">
        <v>893</v>
      </c>
      <c r="G15" s="10">
        <v>900</v>
      </c>
      <c r="H15" s="31">
        <f t="shared" si="2"/>
        <v>1.0078387458006719</v>
      </c>
      <c r="I15" s="9">
        <v>966</v>
      </c>
      <c r="J15" s="12">
        <v>1414</v>
      </c>
      <c r="K15" s="31">
        <f t="shared" si="3"/>
        <v>1.463768115942029</v>
      </c>
      <c r="L15" s="10">
        <v>915</v>
      </c>
      <c r="M15" s="10">
        <v>1148</v>
      </c>
      <c r="N15" s="31">
        <f t="shared" si="4"/>
        <v>1.2546448087431694</v>
      </c>
      <c r="O15" s="67">
        <v>1379</v>
      </c>
      <c r="P15" s="35">
        <v>1672</v>
      </c>
      <c r="Q15" s="31">
        <f t="shared" si="5"/>
        <v>1.2124728063814358</v>
      </c>
      <c r="R15" s="34">
        <v>2122</v>
      </c>
      <c r="S15" s="35">
        <v>1983</v>
      </c>
      <c r="T15" s="31">
        <f t="shared" si="6"/>
        <v>0.93449575871819035</v>
      </c>
      <c r="U15" s="34"/>
      <c r="V15" s="35"/>
      <c r="W15" s="31">
        <f t="shared" si="7"/>
        <v>0</v>
      </c>
      <c r="X15" s="10"/>
      <c r="Y15" s="10"/>
      <c r="Z15" s="31">
        <f t="shared" si="8"/>
        <v>0</v>
      </c>
      <c r="AA15" s="10"/>
      <c r="AB15" s="10"/>
      <c r="AC15" s="31">
        <f t="shared" si="9"/>
        <v>0</v>
      </c>
      <c r="AD15" s="10"/>
      <c r="AE15" s="10"/>
      <c r="AF15" s="31">
        <f t="shared" si="10"/>
        <v>0</v>
      </c>
      <c r="AG15" s="10"/>
      <c r="AH15" s="10"/>
      <c r="AI15" s="31">
        <f t="shared" si="11"/>
        <v>0</v>
      </c>
      <c r="AJ15" s="10"/>
      <c r="AK15" s="10"/>
      <c r="AL15" s="31">
        <f t="shared" si="0"/>
        <v>0</v>
      </c>
      <c r="AM15" s="10"/>
      <c r="AN15" s="10"/>
      <c r="AO15" s="31">
        <f t="shared" si="1"/>
        <v>0</v>
      </c>
      <c r="AP15" s="13">
        <f t="shared" si="12"/>
        <v>6275</v>
      </c>
      <c r="AQ15" s="13">
        <f t="shared" si="13"/>
        <v>7117</v>
      </c>
      <c r="AR15" s="31">
        <f t="shared" si="14"/>
        <v>1.1341832669322709</v>
      </c>
    </row>
    <row r="16" spans="2:44" ht="15.6" customHeight="1" x14ac:dyDescent="0.25">
      <c r="B16" s="15">
        <f t="shared" si="15"/>
        <v>12</v>
      </c>
      <c r="C16" s="7" t="s">
        <v>22</v>
      </c>
      <c r="D16" s="8">
        <v>5751</v>
      </c>
      <c r="E16" s="8"/>
      <c r="F16" s="30">
        <v>0</v>
      </c>
      <c r="G16" s="10">
        <v>266</v>
      </c>
      <c r="H16" s="31">
        <f t="shared" si="2"/>
        <v>0</v>
      </c>
      <c r="I16" s="9"/>
      <c r="J16" s="12">
        <v>122</v>
      </c>
      <c r="K16" s="31">
        <f t="shared" si="3"/>
        <v>0</v>
      </c>
      <c r="L16" s="10"/>
      <c r="M16" s="10">
        <v>697</v>
      </c>
      <c r="N16" s="31">
        <f t="shared" si="4"/>
        <v>0</v>
      </c>
      <c r="O16" s="67"/>
      <c r="P16" s="35">
        <v>395</v>
      </c>
      <c r="Q16" s="31">
        <f t="shared" si="5"/>
        <v>0</v>
      </c>
      <c r="R16" s="34"/>
      <c r="S16" s="35">
        <v>657</v>
      </c>
      <c r="T16" s="31">
        <f t="shared" si="6"/>
        <v>0</v>
      </c>
      <c r="U16" s="34"/>
      <c r="V16" s="35"/>
      <c r="W16" s="31">
        <f t="shared" si="7"/>
        <v>0</v>
      </c>
      <c r="X16" s="10"/>
      <c r="Y16" s="10"/>
      <c r="Z16" s="31">
        <f t="shared" si="8"/>
        <v>0</v>
      </c>
      <c r="AA16" s="10"/>
      <c r="AB16" s="10"/>
      <c r="AC16" s="31">
        <f t="shared" si="9"/>
        <v>0</v>
      </c>
      <c r="AD16" s="10"/>
      <c r="AE16" s="10"/>
      <c r="AF16" s="31">
        <f t="shared" si="10"/>
        <v>0</v>
      </c>
      <c r="AG16" s="10"/>
      <c r="AH16" s="10"/>
      <c r="AI16" s="31">
        <f t="shared" si="11"/>
        <v>0</v>
      </c>
      <c r="AJ16" s="10"/>
      <c r="AK16" s="10"/>
      <c r="AL16" s="31">
        <f t="shared" si="0"/>
        <v>0</v>
      </c>
      <c r="AM16" s="10"/>
      <c r="AN16" s="10"/>
      <c r="AO16" s="31">
        <f t="shared" si="1"/>
        <v>0</v>
      </c>
      <c r="AP16" s="13">
        <f t="shared" si="12"/>
        <v>0</v>
      </c>
      <c r="AQ16" s="13">
        <f t="shared" si="13"/>
        <v>2137</v>
      </c>
      <c r="AR16" s="31">
        <f t="shared" si="14"/>
        <v>0</v>
      </c>
    </row>
    <row r="17" spans="2:44" ht="15.6" customHeight="1" x14ac:dyDescent="0.25">
      <c r="B17" s="15">
        <f t="shared" si="15"/>
        <v>13</v>
      </c>
      <c r="C17" s="7" t="s">
        <v>23</v>
      </c>
      <c r="D17" s="8">
        <v>1266</v>
      </c>
      <c r="E17" s="8"/>
      <c r="F17" s="30">
        <v>220</v>
      </c>
      <c r="G17" s="10">
        <v>220</v>
      </c>
      <c r="H17" s="31">
        <f t="shared" si="2"/>
        <v>1</v>
      </c>
      <c r="I17" s="9">
        <f>28+30</f>
        <v>58</v>
      </c>
      <c r="J17" s="12">
        <v>58</v>
      </c>
      <c r="K17" s="31">
        <f t="shared" si="3"/>
        <v>1</v>
      </c>
      <c r="L17" s="10">
        <v>3</v>
      </c>
      <c r="M17" s="10">
        <v>3</v>
      </c>
      <c r="N17" s="31">
        <f t="shared" si="4"/>
        <v>1</v>
      </c>
      <c r="O17" s="67"/>
      <c r="P17" s="35">
        <v>0</v>
      </c>
      <c r="Q17" s="31">
        <f t="shared" si="5"/>
        <v>0</v>
      </c>
      <c r="R17" s="34">
        <v>28</v>
      </c>
      <c r="S17" s="35">
        <v>28</v>
      </c>
      <c r="T17" s="31">
        <f t="shared" si="6"/>
        <v>1</v>
      </c>
      <c r="U17" s="34"/>
      <c r="V17" s="35"/>
      <c r="W17" s="31">
        <f t="shared" si="7"/>
        <v>0</v>
      </c>
      <c r="X17" s="10"/>
      <c r="Y17" s="10"/>
      <c r="Z17" s="31">
        <f t="shared" si="8"/>
        <v>0</v>
      </c>
      <c r="AA17" s="10"/>
      <c r="AB17" s="10"/>
      <c r="AC17" s="31">
        <f t="shared" si="9"/>
        <v>0</v>
      </c>
      <c r="AD17" s="10"/>
      <c r="AE17" s="10"/>
      <c r="AF17" s="31">
        <f t="shared" si="10"/>
        <v>0</v>
      </c>
      <c r="AG17" s="10"/>
      <c r="AH17" s="10"/>
      <c r="AI17" s="31">
        <f t="shared" si="11"/>
        <v>0</v>
      </c>
      <c r="AJ17" s="10"/>
      <c r="AK17" s="10"/>
      <c r="AL17" s="31">
        <f t="shared" si="0"/>
        <v>0</v>
      </c>
      <c r="AM17" s="10"/>
      <c r="AN17" s="10"/>
      <c r="AO17" s="31">
        <f t="shared" si="1"/>
        <v>0</v>
      </c>
      <c r="AP17" s="69">
        <f t="shared" si="12"/>
        <v>309</v>
      </c>
      <c r="AQ17" s="13">
        <f t="shared" si="13"/>
        <v>309</v>
      </c>
      <c r="AR17" s="31">
        <f t="shared" si="14"/>
        <v>1</v>
      </c>
    </row>
    <row r="18" spans="2:44" ht="15.6" customHeight="1" x14ac:dyDescent="0.25">
      <c r="B18" s="15">
        <f t="shared" si="15"/>
        <v>14</v>
      </c>
      <c r="C18" s="7" t="s">
        <v>24</v>
      </c>
      <c r="D18" s="8">
        <v>3640</v>
      </c>
      <c r="E18" s="8"/>
      <c r="F18" s="30">
        <v>720</v>
      </c>
      <c r="G18" s="10">
        <v>720</v>
      </c>
      <c r="H18" s="31">
        <f t="shared" si="2"/>
        <v>1</v>
      </c>
      <c r="I18" s="11"/>
      <c r="J18" s="12">
        <v>19</v>
      </c>
      <c r="K18" s="31">
        <f t="shared" si="3"/>
        <v>0</v>
      </c>
      <c r="L18" s="10">
        <v>10</v>
      </c>
      <c r="M18" s="10">
        <v>95</v>
      </c>
      <c r="N18" s="31">
        <f t="shared" si="4"/>
        <v>9.5</v>
      </c>
      <c r="O18" s="67">
        <v>890</v>
      </c>
      <c r="P18" s="35">
        <v>890</v>
      </c>
      <c r="Q18" s="31">
        <f t="shared" si="5"/>
        <v>1</v>
      </c>
      <c r="R18" s="34">
        <v>865</v>
      </c>
      <c r="S18" s="35">
        <v>865</v>
      </c>
      <c r="T18" s="31">
        <f t="shared" si="6"/>
        <v>1</v>
      </c>
      <c r="U18" s="34"/>
      <c r="V18" s="35"/>
      <c r="W18" s="31">
        <f t="shared" si="7"/>
        <v>0</v>
      </c>
      <c r="X18" s="10"/>
      <c r="Y18" s="10"/>
      <c r="Z18" s="31">
        <f t="shared" si="8"/>
        <v>0</v>
      </c>
      <c r="AA18" s="10"/>
      <c r="AB18" s="10"/>
      <c r="AC18" s="31">
        <f t="shared" si="9"/>
        <v>0</v>
      </c>
      <c r="AD18" s="10"/>
      <c r="AE18" s="10"/>
      <c r="AF18" s="31">
        <f t="shared" si="10"/>
        <v>0</v>
      </c>
      <c r="AG18" s="10"/>
      <c r="AH18" s="10"/>
      <c r="AI18" s="31">
        <f t="shared" si="11"/>
        <v>0</v>
      </c>
      <c r="AJ18" s="10"/>
      <c r="AK18" s="10"/>
      <c r="AL18" s="31">
        <f t="shared" si="0"/>
        <v>0</v>
      </c>
      <c r="AM18" s="10"/>
      <c r="AN18" s="10"/>
      <c r="AO18" s="31">
        <f t="shared" si="1"/>
        <v>0</v>
      </c>
      <c r="AP18" s="69">
        <f t="shared" si="12"/>
        <v>2485</v>
      </c>
      <c r="AQ18" s="13">
        <f t="shared" si="13"/>
        <v>2589</v>
      </c>
      <c r="AR18" s="31">
        <f t="shared" si="14"/>
        <v>1.041851106639839</v>
      </c>
    </row>
    <row r="19" spans="2:44" ht="15.6" customHeight="1" x14ac:dyDescent="0.25">
      <c r="B19" s="15">
        <f t="shared" si="15"/>
        <v>15</v>
      </c>
      <c r="C19" s="7" t="s">
        <v>25</v>
      </c>
      <c r="D19" s="8">
        <v>4434</v>
      </c>
      <c r="E19" s="8"/>
      <c r="F19" s="30"/>
      <c r="G19" s="30"/>
      <c r="H19" s="31">
        <f t="shared" si="2"/>
        <v>0</v>
      </c>
      <c r="I19" s="30"/>
      <c r="J19" s="11"/>
      <c r="K19" s="31">
        <f t="shared" si="3"/>
        <v>0</v>
      </c>
      <c r="L19" s="30"/>
      <c r="M19" s="10">
        <v>0</v>
      </c>
      <c r="N19" s="31">
        <f t="shared" si="4"/>
        <v>0</v>
      </c>
      <c r="O19" s="30"/>
      <c r="P19" s="35"/>
      <c r="Q19" s="31">
        <f t="shared" si="5"/>
        <v>0</v>
      </c>
      <c r="R19" s="30"/>
      <c r="S19" s="35"/>
      <c r="T19" s="31">
        <f t="shared" si="6"/>
        <v>0</v>
      </c>
      <c r="U19" s="30"/>
      <c r="V19" s="35"/>
      <c r="W19" s="31">
        <f t="shared" si="7"/>
        <v>0</v>
      </c>
      <c r="X19" s="30"/>
      <c r="Y19" s="10"/>
      <c r="Z19" s="31">
        <f t="shared" si="8"/>
        <v>0</v>
      </c>
      <c r="AA19" s="30"/>
      <c r="AB19" s="10"/>
      <c r="AC19" s="31">
        <f t="shared" si="9"/>
        <v>0</v>
      </c>
      <c r="AD19" s="30"/>
      <c r="AE19" s="10"/>
      <c r="AF19" s="31">
        <f t="shared" si="10"/>
        <v>0</v>
      </c>
      <c r="AG19" s="30"/>
      <c r="AH19" s="10"/>
      <c r="AI19" s="31">
        <f t="shared" si="11"/>
        <v>0</v>
      </c>
      <c r="AJ19" s="30"/>
      <c r="AK19" s="10"/>
      <c r="AL19" s="31">
        <f t="shared" si="0"/>
        <v>0</v>
      </c>
      <c r="AM19" s="30"/>
      <c r="AN19" s="10"/>
      <c r="AO19" s="31">
        <f t="shared" si="1"/>
        <v>0</v>
      </c>
      <c r="AP19" s="13">
        <f t="shared" si="12"/>
        <v>0</v>
      </c>
      <c r="AQ19" s="13">
        <f t="shared" si="13"/>
        <v>0</v>
      </c>
      <c r="AR19" s="31">
        <f t="shared" si="14"/>
        <v>0</v>
      </c>
    </row>
    <row r="20" spans="2:44" ht="15.6" customHeight="1" x14ac:dyDescent="0.25">
      <c r="B20" s="15">
        <f t="shared" si="15"/>
        <v>16</v>
      </c>
      <c r="C20" s="7" t="s">
        <v>26</v>
      </c>
      <c r="D20" s="8">
        <v>3199</v>
      </c>
      <c r="E20" s="8"/>
      <c r="F20" s="30"/>
      <c r="G20" s="11"/>
      <c r="H20" s="31">
        <f t="shared" si="2"/>
        <v>0</v>
      </c>
      <c r="I20" s="30"/>
      <c r="J20" s="11"/>
      <c r="K20" s="31">
        <f t="shared" si="3"/>
        <v>0</v>
      </c>
      <c r="L20" s="30"/>
      <c r="M20" s="10">
        <v>0</v>
      </c>
      <c r="N20" s="31">
        <f t="shared" si="4"/>
        <v>0</v>
      </c>
      <c r="O20" s="30"/>
      <c r="P20" s="35"/>
      <c r="Q20" s="31">
        <f t="shared" si="5"/>
        <v>0</v>
      </c>
      <c r="R20" s="30"/>
      <c r="S20" s="35"/>
      <c r="T20" s="31">
        <f t="shared" si="6"/>
        <v>0</v>
      </c>
      <c r="U20" s="30"/>
      <c r="V20" s="35"/>
      <c r="W20" s="31">
        <f t="shared" si="7"/>
        <v>0</v>
      </c>
      <c r="X20" s="30"/>
      <c r="Y20" s="10"/>
      <c r="Z20" s="31">
        <f t="shared" si="8"/>
        <v>0</v>
      </c>
      <c r="AA20" s="30"/>
      <c r="AB20" s="10"/>
      <c r="AC20" s="31">
        <f t="shared" si="9"/>
        <v>0</v>
      </c>
      <c r="AD20" s="30"/>
      <c r="AE20" s="10"/>
      <c r="AF20" s="31">
        <f t="shared" si="10"/>
        <v>0</v>
      </c>
      <c r="AG20" s="30"/>
      <c r="AH20" s="10"/>
      <c r="AI20" s="31">
        <f t="shared" si="11"/>
        <v>0</v>
      </c>
      <c r="AJ20" s="30"/>
      <c r="AK20" s="10"/>
      <c r="AL20" s="31">
        <f t="shared" si="0"/>
        <v>0</v>
      </c>
      <c r="AM20" s="30"/>
      <c r="AN20" s="10"/>
      <c r="AO20" s="31">
        <f t="shared" si="1"/>
        <v>0</v>
      </c>
      <c r="AP20" s="13">
        <f t="shared" si="12"/>
        <v>0</v>
      </c>
      <c r="AQ20" s="13">
        <f t="shared" si="13"/>
        <v>0</v>
      </c>
      <c r="AR20" s="31">
        <f t="shared" si="14"/>
        <v>0</v>
      </c>
    </row>
    <row r="21" spans="2:44" ht="15.6" customHeight="1" x14ac:dyDescent="0.25">
      <c r="B21" s="15">
        <f t="shared" si="15"/>
        <v>17</v>
      </c>
      <c r="C21" s="7" t="s">
        <v>47</v>
      </c>
      <c r="D21" s="8"/>
      <c r="E21" s="8"/>
      <c r="F21" s="30"/>
      <c r="G21" s="11"/>
      <c r="H21" s="31">
        <f t="shared" si="2"/>
        <v>0</v>
      </c>
      <c r="I21" s="11"/>
      <c r="J21" s="11"/>
      <c r="K21" s="31">
        <f t="shared" si="3"/>
        <v>0</v>
      </c>
      <c r="L21" s="31"/>
      <c r="M21" s="10">
        <v>0</v>
      </c>
      <c r="N21" s="31">
        <f t="shared" si="4"/>
        <v>0</v>
      </c>
      <c r="O21" s="34"/>
      <c r="P21" s="35"/>
      <c r="Q21" s="31">
        <f t="shared" si="5"/>
        <v>0</v>
      </c>
      <c r="R21" s="34"/>
      <c r="S21" s="35"/>
      <c r="T21" s="31">
        <f t="shared" si="6"/>
        <v>0</v>
      </c>
      <c r="U21" s="34"/>
      <c r="V21" s="35"/>
      <c r="W21" s="31">
        <f t="shared" si="7"/>
        <v>0</v>
      </c>
      <c r="X21" s="10"/>
      <c r="Y21" s="10"/>
      <c r="Z21" s="31">
        <f t="shared" si="8"/>
        <v>0</v>
      </c>
      <c r="AA21" s="10"/>
      <c r="AB21" s="10"/>
      <c r="AC21" s="31">
        <f t="shared" si="9"/>
        <v>0</v>
      </c>
      <c r="AD21" s="10"/>
      <c r="AE21" s="10"/>
      <c r="AF21" s="31">
        <f t="shared" si="10"/>
        <v>0</v>
      </c>
      <c r="AG21" s="10"/>
      <c r="AH21" s="10"/>
      <c r="AI21" s="31">
        <f t="shared" si="11"/>
        <v>0</v>
      </c>
      <c r="AJ21" s="10"/>
      <c r="AK21" s="10"/>
      <c r="AL21" s="31">
        <f t="shared" si="0"/>
        <v>0</v>
      </c>
      <c r="AM21" s="10"/>
      <c r="AN21" s="10"/>
      <c r="AO21" s="31">
        <f t="shared" si="1"/>
        <v>0</v>
      </c>
      <c r="AP21" s="13">
        <f t="shared" si="12"/>
        <v>0</v>
      </c>
      <c r="AQ21" s="13">
        <f t="shared" si="13"/>
        <v>0</v>
      </c>
      <c r="AR21" s="31">
        <f t="shared" si="14"/>
        <v>0</v>
      </c>
    </row>
    <row r="22" spans="2:44" ht="15.6" customHeight="1" x14ac:dyDescent="0.25">
      <c r="B22" s="15">
        <f t="shared" si="15"/>
        <v>18</v>
      </c>
      <c r="C22" s="7" t="s">
        <v>27</v>
      </c>
      <c r="D22" s="8"/>
      <c r="E22" s="8"/>
      <c r="F22" s="30"/>
      <c r="G22" s="11">
        <v>486</v>
      </c>
      <c r="H22" s="31">
        <f t="shared" si="2"/>
        <v>0</v>
      </c>
      <c r="I22" s="11"/>
      <c r="J22" s="11">
        <v>8209</v>
      </c>
      <c r="K22" s="31">
        <f t="shared" si="3"/>
        <v>0</v>
      </c>
      <c r="L22" s="31"/>
      <c r="M22" s="10">
        <v>313</v>
      </c>
      <c r="N22" s="31">
        <f t="shared" si="4"/>
        <v>0</v>
      </c>
      <c r="O22" s="34"/>
      <c r="P22" s="35"/>
      <c r="Q22" s="31">
        <f t="shared" si="5"/>
        <v>0</v>
      </c>
      <c r="R22" s="34"/>
      <c r="S22" s="35">
        <v>5555</v>
      </c>
      <c r="T22" s="31">
        <f t="shared" si="6"/>
        <v>0</v>
      </c>
      <c r="U22" s="34"/>
      <c r="V22" s="35"/>
      <c r="W22" s="31">
        <f t="shared" si="7"/>
        <v>0</v>
      </c>
      <c r="X22" s="10"/>
      <c r="Y22" s="10"/>
      <c r="Z22" s="31">
        <f t="shared" si="8"/>
        <v>0</v>
      </c>
      <c r="AA22" s="10"/>
      <c r="AB22" s="10"/>
      <c r="AC22" s="31">
        <f t="shared" si="9"/>
        <v>0</v>
      </c>
      <c r="AD22" s="10"/>
      <c r="AE22" s="10"/>
      <c r="AF22" s="31">
        <f t="shared" si="10"/>
        <v>0</v>
      </c>
      <c r="AG22" s="10"/>
      <c r="AH22" s="10"/>
      <c r="AI22" s="31">
        <f t="shared" si="11"/>
        <v>0</v>
      </c>
      <c r="AJ22" s="10"/>
      <c r="AK22" s="10"/>
      <c r="AL22" s="31">
        <f t="shared" si="0"/>
        <v>0</v>
      </c>
      <c r="AM22" s="10"/>
      <c r="AN22" s="10"/>
      <c r="AO22" s="31">
        <f t="shared" si="1"/>
        <v>0</v>
      </c>
      <c r="AP22" s="13">
        <f t="shared" si="12"/>
        <v>0</v>
      </c>
      <c r="AQ22" s="13">
        <f t="shared" si="13"/>
        <v>14563</v>
      </c>
      <c r="AR22" s="31">
        <f t="shared" si="14"/>
        <v>0</v>
      </c>
    </row>
    <row r="23" spans="2:44" ht="15.6" customHeight="1" x14ac:dyDescent="0.25">
      <c r="B23" s="17"/>
      <c r="C23" s="18" t="s">
        <v>28</v>
      </c>
      <c r="D23" s="19">
        <f>SUM(D5:D20)</f>
        <v>639897</v>
      </c>
      <c r="E23" s="80">
        <f>SUM(E5:E22)</f>
        <v>0</v>
      </c>
      <c r="F23" s="20">
        <f t="shared" ref="F23:I23" si="16">SUM(F5:F21)</f>
        <v>31589</v>
      </c>
      <c r="G23" s="20">
        <f>SUM(G5:G21)</f>
        <v>31057</v>
      </c>
      <c r="H23" s="32">
        <f>G23/F23</f>
        <v>0.98315869448225646</v>
      </c>
      <c r="I23" s="20">
        <f t="shared" si="16"/>
        <v>26766</v>
      </c>
      <c r="J23" s="20">
        <f>SUM(J5:J21)</f>
        <v>27521</v>
      </c>
      <c r="K23" s="32">
        <f>J23/I23</f>
        <v>1.0282074273331838</v>
      </c>
      <c r="L23" s="20">
        <f t="shared" ref="L23" si="17">SUM(L5:L21)</f>
        <v>35166</v>
      </c>
      <c r="M23" s="20">
        <f>SUM(M5:M21)</f>
        <v>36693</v>
      </c>
      <c r="N23" s="32">
        <f>M23/L23</f>
        <v>1.0434226241255757</v>
      </c>
      <c r="O23" s="20">
        <f t="shared" ref="O23" si="18">SUM(O5:O21)</f>
        <v>28055</v>
      </c>
      <c r="P23" s="20">
        <f>SUM(P5:P21)</f>
        <v>29390</v>
      </c>
      <c r="Q23" s="32">
        <f>P23/O23</f>
        <v>1.0475851006950632</v>
      </c>
      <c r="R23" s="20">
        <f t="shared" ref="R23" si="19">SUM(R5:R21)</f>
        <v>18714</v>
      </c>
      <c r="S23" s="20">
        <f>SUM(S5:S22)</f>
        <v>24660</v>
      </c>
      <c r="T23" s="32">
        <f>S23/R23</f>
        <v>1.3177300416800257</v>
      </c>
      <c r="U23" s="20">
        <v>23588</v>
      </c>
      <c r="V23" s="20">
        <f>SUM(V5:V21)</f>
        <v>0</v>
      </c>
      <c r="W23" s="32">
        <f>V23/U23</f>
        <v>0</v>
      </c>
      <c r="X23" s="20">
        <f t="shared" ref="X23" si="20">SUM(X5:X21)</f>
        <v>0</v>
      </c>
      <c r="Y23" s="20">
        <f>SUM(Y5:Y21)</f>
        <v>0</v>
      </c>
      <c r="Z23" s="32" t="e">
        <f>Y23/X23</f>
        <v>#DIV/0!</v>
      </c>
      <c r="AA23" s="20">
        <f t="shared" ref="AA23" si="21">SUM(AA5:AA21)</f>
        <v>0</v>
      </c>
      <c r="AB23" s="20">
        <f>SUM(AB5:AB21)</f>
        <v>0</v>
      </c>
      <c r="AC23" s="32" t="e">
        <f>AB23/AA23</f>
        <v>#DIV/0!</v>
      </c>
      <c r="AD23" s="20">
        <f t="shared" ref="AD23" si="22">SUM(AD5:AD21)</f>
        <v>0</v>
      </c>
      <c r="AE23" s="20">
        <f>SUM(AE5:AE21)</f>
        <v>0</v>
      </c>
      <c r="AF23" s="32" t="e">
        <f>AE23/AD23</f>
        <v>#DIV/0!</v>
      </c>
      <c r="AG23" s="20">
        <f t="shared" ref="AG23" si="23">SUM(AG5:AG21)</f>
        <v>0</v>
      </c>
      <c r="AH23" s="20">
        <f>SUM(AH5:AH21)</f>
        <v>0</v>
      </c>
      <c r="AI23" s="32" t="e">
        <f>AH23/AG23</f>
        <v>#DIV/0!</v>
      </c>
      <c r="AJ23" s="20">
        <f t="shared" ref="AJ23" si="24">SUM(AJ5:AJ21)</f>
        <v>0</v>
      </c>
      <c r="AK23" s="20">
        <f>SUM(AK5:AK21)</f>
        <v>0</v>
      </c>
      <c r="AL23" s="32" t="e">
        <f>AK23/AJ23</f>
        <v>#DIV/0!</v>
      </c>
      <c r="AM23" s="20">
        <f t="shared" ref="AM23" si="25">SUM(AM5:AM21)</f>
        <v>0</v>
      </c>
      <c r="AN23" s="20">
        <f>SUM(AN5:AN21)</f>
        <v>0</v>
      </c>
      <c r="AO23" s="32" t="e">
        <f>AN23/AM23</f>
        <v>#DIV/0!</v>
      </c>
      <c r="AP23" s="20">
        <f>SUM(AP5:AP21)</f>
        <v>140290</v>
      </c>
      <c r="AQ23" s="20">
        <f>SUM(AQ5:AQ21)</f>
        <v>143766</v>
      </c>
      <c r="AR23" s="32">
        <f>AQ23/AP23</f>
        <v>1.0247772471309431</v>
      </c>
    </row>
    <row r="24" spans="2:44" ht="15.6" customHeight="1" x14ac:dyDescent="0.25">
      <c r="B24" s="17"/>
      <c r="C24" s="21" t="s">
        <v>29</v>
      </c>
      <c r="D24" s="19"/>
      <c r="E24" s="80"/>
      <c r="F24" s="20">
        <f>SUM(F5:F22)</f>
        <v>31589</v>
      </c>
      <c r="G24" s="20">
        <f>SUM(G5:G22)</f>
        <v>31543</v>
      </c>
      <c r="H24" s="32">
        <f>G24/F24</f>
        <v>0.99854379689132289</v>
      </c>
      <c r="I24" s="20">
        <f>SUM(I5:I22)</f>
        <v>26766</v>
      </c>
      <c r="J24" s="20">
        <f>SUM(J5:J22)</f>
        <v>35730</v>
      </c>
      <c r="K24" s="32">
        <f>J24/I24</f>
        <v>1.3349024882313383</v>
      </c>
      <c r="L24" s="20">
        <f>SUM(L5:L22)</f>
        <v>35166</v>
      </c>
      <c r="M24" s="20">
        <f>SUM(M5:M22)</f>
        <v>37006</v>
      </c>
      <c r="N24" s="32">
        <f>M24/L24</f>
        <v>1.0523232667917874</v>
      </c>
      <c r="O24" s="20">
        <f>SUM(O5:O22)</f>
        <v>28055</v>
      </c>
      <c r="P24" s="20">
        <f>SUM(P5:P22)</f>
        <v>29390</v>
      </c>
      <c r="Q24" s="32">
        <f>P24/O24</f>
        <v>1.0475851006950632</v>
      </c>
      <c r="R24" s="20">
        <f>SUM(R5:R22)</f>
        <v>18714</v>
      </c>
      <c r="S24" s="20">
        <f>SUM(S5:S22)</f>
        <v>24660</v>
      </c>
      <c r="T24" s="32">
        <f>S24/R24</f>
        <v>1.3177300416800257</v>
      </c>
      <c r="U24" s="20">
        <v>23588</v>
      </c>
      <c r="V24" s="20">
        <f>SUM(V5:V22)</f>
        <v>0</v>
      </c>
      <c r="W24" s="32">
        <f>V24/U24</f>
        <v>0</v>
      </c>
      <c r="X24" s="20">
        <f>SUM(X5:X22)</f>
        <v>0</v>
      </c>
      <c r="Y24" s="20">
        <f>SUM(Y5:Y22)</f>
        <v>0</v>
      </c>
      <c r="Z24" s="32" t="e">
        <f>Y24/X24</f>
        <v>#DIV/0!</v>
      </c>
      <c r="AA24" s="20">
        <f>SUM(AA5:AA22)</f>
        <v>0</v>
      </c>
      <c r="AB24" s="20">
        <f>SUM(AB5:AB22)</f>
        <v>0</v>
      </c>
      <c r="AC24" s="32" t="e">
        <f>AB24/AA24</f>
        <v>#DIV/0!</v>
      </c>
      <c r="AD24" s="20">
        <f>SUM(AD5:AD22)</f>
        <v>0</v>
      </c>
      <c r="AE24" s="20">
        <f>SUM(AE5:AE22)</f>
        <v>0</v>
      </c>
      <c r="AF24" s="32" t="e">
        <f>AE24/AD24</f>
        <v>#DIV/0!</v>
      </c>
      <c r="AG24" s="20">
        <f>SUM(AG5:AG22)</f>
        <v>0</v>
      </c>
      <c r="AH24" s="20">
        <f>SUM(AH5:AH22)</f>
        <v>0</v>
      </c>
      <c r="AI24" s="32" t="e">
        <f>AH24/AG24</f>
        <v>#DIV/0!</v>
      </c>
      <c r="AJ24" s="20">
        <f>SUM(AJ5:AJ22)</f>
        <v>0</v>
      </c>
      <c r="AK24" s="20">
        <f>SUM(AK5:AK22)</f>
        <v>0</v>
      </c>
      <c r="AL24" s="32" t="e">
        <f>AK24/AJ24</f>
        <v>#DIV/0!</v>
      </c>
      <c r="AM24" s="20">
        <f>SUM(AM5:AM22)</f>
        <v>0</v>
      </c>
      <c r="AN24" s="20">
        <f>SUM(AN5:AN22)</f>
        <v>0</v>
      </c>
      <c r="AO24" s="32" t="e">
        <f>AN24/AM24</f>
        <v>#DIV/0!</v>
      </c>
      <c r="AP24" s="20">
        <f>SUM(AP5:AP22)</f>
        <v>140290</v>
      </c>
      <c r="AQ24" s="20">
        <f>SUM(AQ5:AQ22)</f>
        <v>158329</v>
      </c>
      <c r="AR24" s="32">
        <f>AQ24/AP24</f>
        <v>1.1285836481573883</v>
      </c>
    </row>
    <row r="25" spans="2:44" ht="14.45" customHeight="1" x14ac:dyDescent="0.25">
      <c r="B25" s="23"/>
      <c r="C25" s="7" t="s">
        <v>30</v>
      </c>
      <c r="D25" s="7"/>
      <c r="E25" s="7"/>
      <c r="F25" s="7">
        <v>13</v>
      </c>
      <c r="G25" s="7">
        <v>13</v>
      </c>
      <c r="H25" s="7"/>
      <c r="I25" s="7">
        <v>12</v>
      </c>
      <c r="J25" s="7">
        <v>12</v>
      </c>
      <c r="K25" s="7"/>
      <c r="L25" s="7">
        <v>13</v>
      </c>
      <c r="M25" s="7">
        <v>13</v>
      </c>
      <c r="N25" s="7"/>
      <c r="O25" s="7">
        <v>11</v>
      </c>
      <c r="P25" s="7">
        <v>11</v>
      </c>
      <c r="Q25" s="7"/>
      <c r="R25" s="7">
        <v>11</v>
      </c>
      <c r="S25" s="7">
        <v>11</v>
      </c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13">
        <f>F25+I25+L25+O25+R25+U25+X25+AA25+AD25+AG25+AJ25+AM25</f>
        <v>60</v>
      </c>
      <c r="AQ25" s="13">
        <f>G25+J25+M25+P25+S25+V25+Y25+AB25+AE25+AH25+AK25+AN25</f>
        <v>60</v>
      </c>
      <c r="AR25" s="7"/>
    </row>
    <row r="26" spans="2:44" ht="14.45" customHeight="1" x14ac:dyDescent="0.25">
      <c r="B26" s="23"/>
      <c r="C26" s="25" t="s">
        <v>63</v>
      </c>
      <c r="D26" s="7"/>
      <c r="E26" s="8"/>
      <c r="F26" s="8">
        <f t="shared" ref="F26:L26" si="26">F23/F25</f>
        <v>2429.9230769230771</v>
      </c>
      <c r="G26" s="8">
        <f>G24/G25</f>
        <v>2426.3846153846152</v>
      </c>
      <c r="H26" s="8"/>
      <c r="I26" s="8">
        <f t="shared" si="26"/>
        <v>2230.5</v>
      </c>
      <c r="J26" s="8">
        <f>J24/J25</f>
        <v>2977.5</v>
      </c>
      <c r="K26" s="8"/>
      <c r="L26" s="8">
        <f t="shared" si="26"/>
        <v>2705.0769230769229</v>
      </c>
      <c r="M26" s="8">
        <f>M24/M25</f>
        <v>2846.6153846153848</v>
      </c>
      <c r="N26" s="8"/>
      <c r="O26" s="8">
        <f t="shared" ref="O26:P26" si="27">O23/O25</f>
        <v>2550.4545454545455</v>
      </c>
      <c r="P26" s="8">
        <f t="shared" si="27"/>
        <v>2671.818181818182</v>
      </c>
      <c r="Q26" s="8"/>
      <c r="R26" s="8">
        <f t="shared" ref="R26:S26" si="28">R23/R25</f>
        <v>1701.2727272727273</v>
      </c>
      <c r="S26" s="8">
        <f t="shared" si="28"/>
        <v>2241.818181818182</v>
      </c>
      <c r="T26" s="8"/>
      <c r="U26" s="8" t="e">
        <f t="shared" ref="U26:V26" si="29">U23/U25</f>
        <v>#DIV/0!</v>
      </c>
      <c r="V26" s="8" t="e">
        <f t="shared" si="29"/>
        <v>#DIV/0!</v>
      </c>
      <c r="W26" s="8"/>
      <c r="X26" s="8" t="e">
        <f>X24/X25</f>
        <v>#DIV/0!</v>
      </c>
      <c r="Y26" s="8" t="e">
        <f>Y24/Y25</f>
        <v>#DIV/0!</v>
      </c>
      <c r="Z26" s="8"/>
      <c r="AA26" s="8" t="e">
        <f>AA24/AA25</f>
        <v>#DIV/0!</v>
      </c>
      <c r="AB26" s="8" t="e">
        <f>AB24/AB25</f>
        <v>#DIV/0!</v>
      </c>
      <c r="AC26" s="8"/>
      <c r="AD26" s="8" t="e">
        <f>AD24/AD25</f>
        <v>#DIV/0!</v>
      </c>
      <c r="AE26" s="8" t="e">
        <f>AE24/AE25</f>
        <v>#DIV/0!</v>
      </c>
      <c r="AF26" s="8"/>
      <c r="AG26" s="8" t="e">
        <f>AG24/AG25</f>
        <v>#DIV/0!</v>
      </c>
      <c r="AH26" s="8" t="e">
        <f>AH24/AH25</f>
        <v>#DIV/0!</v>
      </c>
      <c r="AI26" s="8"/>
      <c r="AJ26" s="8" t="e">
        <f>AJ24/AJ25</f>
        <v>#DIV/0!</v>
      </c>
      <c r="AK26" s="8" t="e">
        <f>AK24/AK25</f>
        <v>#DIV/0!</v>
      </c>
      <c r="AL26" s="48"/>
      <c r="AM26" s="8" t="e">
        <f>AM24/AM25</f>
        <v>#DIV/0!</v>
      </c>
      <c r="AN26" s="8" t="e">
        <f>AN24/AN25</f>
        <v>#DIV/0!</v>
      </c>
      <c r="AO26" s="48"/>
      <c r="AP26" s="8">
        <f>AP24/AP25</f>
        <v>2338.1666666666665</v>
      </c>
      <c r="AQ26" s="8">
        <f>AQ24/AQ25</f>
        <v>2638.8166666666666</v>
      </c>
      <c r="AR26" s="23"/>
    </row>
    <row r="28" spans="2:44" ht="15" hidden="1" customHeight="1" x14ac:dyDescent="0.25"/>
    <row r="29" spans="2:44" ht="18.75" hidden="1" customHeight="1" x14ac:dyDescent="0.3">
      <c r="C29" s="1" t="s">
        <v>38</v>
      </c>
    </row>
    <row r="30" spans="2:44" ht="15" hidden="1" customHeight="1" x14ac:dyDescent="0.25">
      <c r="B30" s="93" t="s">
        <v>0</v>
      </c>
      <c r="C30" s="95" t="s">
        <v>1</v>
      </c>
      <c r="D30" s="4" t="s">
        <v>2</v>
      </c>
      <c r="E30" s="97" t="s">
        <v>32</v>
      </c>
      <c r="F30" s="99" t="s">
        <v>33</v>
      </c>
      <c r="G30" s="100"/>
      <c r="H30" s="101"/>
      <c r="I30" s="99" t="s">
        <v>36</v>
      </c>
      <c r="J30" s="100"/>
      <c r="K30" s="101"/>
      <c r="L30" s="99" t="s">
        <v>37</v>
      </c>
      <c r="M30" s="100"/>
      <c r="N30" s="101"/>
      <c r="O30" s="99" t="s">
        <v>40</v>
      </c>
      <c r="P30" s="100"/>
      <c r="Q30" s="101"/>
      <c r="R30" s="99" t="s">
        <v>46</v>
      </c>
      <c r="S30" s="100"/>
      <c r="T30" s="101"/>
      <c r="U30" s="99" t="s">
        <v>54</v>
      </c>
      <c r="V30" s="100"/>
      <c r="W30" s="101"/>
      <c r="X30" s="99" t="s">
        <v>57</v>
      </c>
      <c r="Y30" s="100"/>
      <c r="Z30" s="101"/>
      <c r="AA30" s="99" t="s">
        <v>57</v>
      </c>
      <c r="AB30" s="100"/>
      <c r="AC30" s="101"/>
      <c r="AD30" s="99" t="s">
        <v>57</v>
      </c>
      <c r="AE30" s="100"/>
      <c r="AF30" s="101"/>
      <c r="AG30" s="99" t="s">
        <v>57</v>
      </c>
      <c r="AH30" s="100"/>
      <c r="AI30" s="101"/>
      <c r="AJ30" s="47"/>
      <c r="AK30" s="47"/>
      <c r="AL30" s="47"/>
      <c r="AM30" s="47"/>
      <c r="AN30" s="47"/>
      <c r="AO30" s="47"/>
      <c r="AP30" s="102" t="s">
        <v>8</v>
      </c>
      <c r="AQ30" s="103"/>
      <c r="AR30" s="104"/>
    </row>
    <row r="31" spans="2:44" ht="15" hidden="1" customHeight="1" x14ac:dyDescent="0.25">
      <c r="B31" s="94"/>
      <c r="C31" s="96"/>
      <c r="D31" s="4"/>
      <c r="E31" s="98"/>
      <c r="F31" s="5" t="s">
        <v>34</v>
      </c>
      <c r="G31" s="5" t="s">
        <v>35</v>
      </c>
      <c r="H31" s="5" t="s">
        <v>9</v>
      </c>
      <c r="I31" s="5" t="s">
        <v>34</v>
      </c>
      <c r="J31" s="5" t="s">
        <v>35</v>
      </c>
      <c r="K31" s="5" t="s">
        <v>9</v>
      </c>
      <c r="L31" s="5" t="s">
        <v>34</v>
      </c>
      <c r="M31" s="5" t="s">
        <v>35</v>
      </c>
      <c r="N31" s="5" t="s">
        <v>9</v>
      </c>
      <c r="O31" s="5" t="s">
        <v>34</v>
      </c>
      <c r="P31" s="5" t="s">
        <v>35</v>
      </c>
      <c r="Q31" s="5" t="s">
        <v>9</v>
      </c>
      <c r="R31" s="5" t="s">
        <v>34</v>
      </c>
      <c r="S31" s="5" t="s">
        <v>35</v>
      </c>
      <c r="T31" s="5" t="s">
        <v>9</v>
      </c>
      <c r="U31" s="5" t="s">
        <v>34</v>
      </c>
      <c r="V31" s="5" t="s">
        <v>35</v>
      </c>
      <c r="W31" s="5" t="s">
        <v>9</v>
      </c>
      <c r="X31" s="5" t="s">
        <v>34</v>
      </c>
      <c r="Y31" s="5" t="s">
        <v>35</v>
      </c>
      <c r="Z31" s="5" t="s">
        <v>9</v>
      </c>
      <c r="AA31" s="5" t="s">
        <v>34</v>
      </c>
      <c r="AB31" s="5" t="s">
        <v>35</v>
      </c>
      <c r="AC31" s="5" t="s">
        <v>9</v>
      </c>
      <c r="AD31" s="5" t="s">
        <v>34</v>
      </c>
      <c r="AE31" s="5" t="s">
        <v>35</v>
      </c>
      <c r="AF31" s="5" t="s">
        <v>9</v>
      </c>
      <c r="AG31" s="5" t="s">
        <v>34</v>
      </c>
      <c r="AH31" s="5" t="s">
        <v>35</v>
      </c>
      <c r="AI31" s="5" t="s">
        <v>9</v>
      </c>
      <c r="AJ31" s="5"/>
      <c r="AK31" s="5"/>
      <c r="AL31" s="5"/>
      <c r="AM31" s="5"/>
      <c r="AN31" s="5"/>
      <c r="AO31" s="5"/>
      <c r="AP31" s="33" t="s">
        <v>34</v>
      </c>
      <c r="AQ31" s="33" t="s">
        <v>35</v>
      </c>
      <c r="AR31" s="33" t="s">
        <v>9</v>
      </c>
    </row>
    <row r="32" spans="2:44" ht="15" hidden="1" customHeight="1" x14ac:dyDescent="0.25">
      <c r="B32" s="6">
        <v>1</v>
      </c>
      <c r="C32" s="7" t="s">
        <v>11</v>
      </c>
      <c r="D32" s="8">
        <v>32580</v>
      </c>
      <c r="E32" s="8"/>
      <c r="F32" s="29">
        <v>3660</v>
      </c>
      <c r="G32" s="10">
        <v>3260</v>
      </c>
      <c r="H32" s="31">
        <f>IFERROR(G32/F32,0)</f>
        <v>0.89071038251366119</v>
      </c>
      <c r="I32" s="11">
        <v>3010</v>
      </c>
      <c r="J32" s="12">
        <v>3010</v>
      </c>
      <c r="K32" s="31">
        <f>IFERROR(J32/I32,0)</f>
        <v>1</v>
      </c>
      <c r="L32" s="10">
        <v>4325</v>
      </c>
      <c r="M32" s="10">
        <v>4160</v>
      </c>
      <c r="N32" s="31">
        <f>IFERROR(M32/L32,0)</f>
        <v>0.96184971098265892</v>
      </c>
      <c r="O32" s="9">
        <v>2185</v>
      </c>
      <c r="P32" s="10">
        <v>2185</v>
      </c>
      <c r="Q32" s="31">
        <f>IFERROR(P32/O32,0)</f>
        <v>1</v>
      </c>
      <c r="R32" s="34">
        <v>1820</v>
      </c>
      <c r="S32" s="31"/>
      <c r="T32" s="31">
        <f>IFERROR(S32/R32,0)</f>
        <v>0</v>
      </c>
      <c r="U32" s="34"/>
      <c r="V32" s="31"/>
      <c r="W32" s="31">
        <f>IFERROR(V32/U32,0)</f>
        <v>0</v>
      </c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13">
        <f>F32+I32+L32+O32+R32+U32+X32</f>
        <v>15000</v>
      </c>
      <c r="AQ32" s="13">
        <f>G32+J32+M32+P32+S32+V32+Y32</f>
        <v>12615</v>
      </c>
      <c r="AR32" s="31">
        <f>IFERROR(AQ32/AP32,0)</f>
        <v>0.84099999999999997</v>
      </c>
    </row>
    <row r="33" spans="2:44" ht="15" hidden="1" customHeight="1" x14ac:dyDescent="0.25">
      <c r="B33" s="6">
        <f>B32+1</f>
        <v>2</v>
      </c>
      <c r="C33" s="7" t="s">
        <v>12</v>
      </c>
      <c r="D33" s="8">
        <v>24192</v>
      </c>
      <c r="E33" s="14"/>
      <c r="F33" s="29">
        <v>1904</v>
      </c>
      <c r="G33" s="10">
        <f>1974-70</f>
        <v>1904</v>
      </c>
      <c r="H33" s="31">
        <f t="shared" ref="H33:H49" si="30">IFERROR(G33/F33,0)</f>
        <v>1</v>
      </c>
      <c r="I33" s="11">
        <v>1738</v>
      </c>
      <c r="J33" s="12">
        <v>1468</v>
      </c>
      <c r="K33" s="31">
        <f t="shared" ref="K33:K49" si="31">IFERROR(J33/I33,0)</f>
        <v>0.84464902186421176</v>
      </c>
      <c r="L33" s="10">
        <v>2364</v>
      </c>
      <c r="M33" s="10">
        <v>2133</v>
      </c>
      <c r="N33" s="31">
        <f t="shared" ref="N33:N49" si="32">IFERROR(M33/L33,0)</f>
        <v>0.90228426395939088</v>
      </c>
      <c r="O33" s="9">
        <v>2234</v>
      </c>
      <c r="P33" s="10">
        <v>2234</v>
      </c>
      <c r="Q33" s="31">
        <f t="shared" ref="Q33:Q49" si="33">IFERROR(P33/O33,0)</f>
        <v>1</v>
      </c>
      <c r="R33" s="34">
        <v>3569</v>
      </c>
      <c r="S33" s="31"/>
      <c r="T33" s="31">
        <f t="shared" ref="T33:T49" si="34">IFERROR(S33/R33,0)</f>
        <v>0</v>
      </c>
      <c r="U33" s="34"/>
      <c r="V33" s="31"/>
      <c r="W33" s="31">
        <f t="shared" ref="W33:W49" si="35">IFERROR(V33/U33,0)</f>
        <v>0</v>
      </c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13">
        <f t="shared" ref="AP33:AP49" si="36">F33+I33+L33+O33+R33+U33+X33</f>
        <v>11809</v>
      </c>
      <c r="AQ33" s="13">
        <f t="shared" ref="AQ33:AQ49" si="37">G33+J33+M33+P33+S33+V33+Y33</f>
        <v>7739</v>
      </c>
      <c r="AR33" s="31">
        <f t="shared" ref="AR33:AR49" si="38">IFERROR(AQ33/AP33,0)</f>
        <v>0.65534761622491322</v>
      </c>
    </row>
    <row r="34" spans="2:44" ht="15" hidden="1" customHeight="1" x14ac:dyDescent="0.25">
      <c r="B34" s="6">
        <f t="shared" ref="B34:B47" si="39">B33+1</f>
        <v>3</v>
      </c>
      <c r="C34" s="7" t="s">
        <v>13</v>
      </c>
      <c r="D34" s="8">
        <v>81041</v>
      </c>
      <c r="E34" s="14"/>
      <c r="F34" s="29">
        <v>4386</v>
      </c>
      <c r="G34" s="10">
        <f>5904-1518</f>
        <v>4386</v>
      </c>
      <c r="H34" s="31">
        <f t="shared" si="30"/>
        <v>1</v>
      </c>
      <c r="I34" s="11">
        <v>5115</v>
      </c>
      <c r="J34" s="12">
        <v>4869</v>
      </c>
      <c r="K34" s="31">
        <f t="shared" si="31"/>
        <v>0.95190615835777126</v>
      </c>
      <c r="L34" s="10">
        <v>3806</v>
      </c>
      <c r="M34" s="10">
        <v>3057</v>
      </c>
      <c r="N34" s="31">
        <f t="shared" si="32"/>
        <v>0.80320546505517609</v>
      </c>
      <c r="O34" s="9">
        <v>2599</v>
      </c>
      <c r="P34" s="10">
        <v>2332</v>
      </c>
      <c r="Q34" s="31">
        <f t="shared" si="33"/>
        <v>0.89726818006925746</v>
      </c>
      <c r="R34" s="34">
        <v>2647</v>
      </c>
      <c r="S34" s="31"/>
      <c r="T34" s="31">
        <f t="shared" si="34"/>
        <v>0</v>
      </c>
      <c r="U34" s="34"/>
      <c r="V34" s="31"/>
      <c r="W34" s="31">
        <f t="shared" si="35"/>
        <v>0</v>
      </c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13">
        <f t="shared" si="36"/>
        <v>18553</v>
      </c>
      <c r="AQ34" s="13">
        <f t="shared" si="37"/>
        <v>14644</v>
      </c>
      <c r="AR34" s="31">
        <f t="shared" si="38"/>
        <v>0.78930631164771192</v>
      </c>
    </row>
    <row r="35" spans="2:44" ht="15" hidden="1" customHeight="1" x14ac:dyDescent="0.25">
      <c r="B35" s="15">
        <f t="shared" si="39"/>
        <v>4</v>
      </c>
      <c r="C35" s="7" t="s">
        <v>14</v>
      </c>
      <c r="D35" s="8">
        <v>86039</v>
      </c>
      <c r="E35" s="14"/>
      <c r="F35" s="30">
        <v>3926</v>
      </c>
      <c r="G35" s="10">
        <f>3958-32</f>
        <v>3926</v>
      </c>
      <c r="H35" s="31">
        <f t="shared" si="30"/>
        <v>1</v>
      </c>
      <c r="I35" s="11">
        <v>1934</v>
      </c>
      <c r="J35" s="12">
        <v>1934</v>
      </c>
      <c r="K35" s="31">
        <f t="shared" si="31"/>
        <v>1</v>
      </c>
      <c r="L35" s="10">
        <v>2638</v>
      </c>
      <c r="M35" s="10">
        <v>2242</v>
      </c>
      <c r="N35" s="31">
        <f t="shared" si="32"/>
        <v>0.84988627748294165</v>
      </c>
      <c r="O35" s="8">
        <v>1768</v>
      </c>
      <c r="P35" s="10">
        <v>1705</v>
      </c>
      <c r="Q35" s="31">
        <f t="shared" si="33"/>
        <v>0.96436651583710409</v>
      </c>
      <c r="R35" s="34">
        <v>2022</v>
      </c>
      <c r="S35" s="31"/>
      <c r="T35" s="31">
        <f t="shared" si="34"/>
        <v>0</v>
      </c>
      <c r="U35" s="34"/>
      <c r="V35" s="31"/>
      <c r="W35" s="31">
        <f t="shared" si="35"/>
        <v>0</v>
      </c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13">
        <f t="shared" si="36"/>
        <v>12288</v>
      </c>
      <c r="AQ35" s="13">
        <f t="shared" si="37"/>
        <v>9807</v>
      </c>
      <c r="AR35" s="31">
        <f t="shared" si="38"/>
        <v>0.798095703125</v>
      </c>
    </row>
    <row r="36" spans="2:44" ht="15" hidden="1" customHeight="1" x14ac:dyDescent="0.25">
      <c r="B36" s="15">
        <f t="shared" si="39"/>
        <v>5</v>
      </c>
      <c r="C36" s="7" t="s">
        <v>15</v>
      </c>
      <c r="D36" s="8">
        <v>51544</v>
      </c>
      <c r="E36" s="14"/>
      <c r="F36" s="30">
        <v>1810</v>
      </c>
      <c r="G36" s="10">
        <f>1496-32</f>
        <v>1464</v>
      </c>
      <c r="H36" s="31">
        <f t="shared" si="30"/>
        <v>0.80883977900552484</v>
      </c>
      <c r="I36" s="11">
        <v>1288</v>
      </c>
      <c r="J36" s="12">
        <f>1239-28</f>
        <v>1211</v>
      </c>
      <c r="K36" s="31">
        <f t="shared" si="31"/>
        <v>0.94021739130434778</v>
      </c>
      <c r="L36" s="10">
        <v>500</v>
      </c>
      <c r="M36" s="10">
        <v>258</v>
      </c>
      <c r="N36" s="31">
        <f t="shared" si="32"/>
        <v>0.51600000000000001</v>
      </c>
      <c r="O36" s="8">
        <v>446</v>
      </c>
      <c r="P36" s="10">
        <v>446</v>
      </c>
      <c r="Q36" s="31">
        <f t="shared" si="33"/>
        <v>1</v>
      </c>
      <c r="R36" s="34">
        <v>502</v>
      </c>
      <c r="S36" s="31"/>
      <c r="T36" s="31">
        <f t="shared" si="34"/>
        <v>0</v>
      </c>
      <c r="U36" s="34"/>
      <c r="V36" s="31"/>
      <c r="W36" s="31">
        <f t="shared" si="35"/>
        <v>0</v>
      </c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13">
        <f t="shared" si="36"/>
        <v>4546</v>
      </c>
      <c r="AQ36" s="13">
        <f t="shared" si="37"/>
        <v>3379</v>
      </c>
      <c r="AR36" s="31">
        <f t="shared" si="38"/>
        <v>0.74329080510338763</v>
      </c>
    </row>
    <row r="37" spans="2:44" ht="15" hidden="1" customHeight="1" x14ac:dyDescent="0.25">
      <c r="B37" s="15">
        <f t="shared" si="39"/>
        <v>6</v>
      </c>
      <c r="C37" s="7" t="s">
        <v>16</v>
      </c>
      <c r="D37" s="8">
        <v>101433</v>
      </c>
      <c r="E37" s="14"/>
      <c r="F37" s="30">
        <v>20786</v>
      </c>
      <c r="G37" s="10">
        <f>19397-732</f>
        <v>18665</v>
      </c>
      <c r="H37" s="31">
        <f t="shared" si="30"/>
        <v>0.89796016549600688</v>
      </c>
      <c r="I37" s="11">
        <v>16999</v>
      </c>
      <c r="J37" s="12">
        <v>15759</v>
      </c>
      <c r="K37" s="31">
        <f t="shared" si="31"/>
        <v>0.92705453261956583</v>
      </c>
      <c r="L37" s="10">
        <v>7559</v>
      </c>
      <c r="M37" s="10">
        <v>7559</v>
      </c>
      <c r="N37" s="31">
        <f t="shared" si="32"/>
        <v>1</v>
      </c>
      <c r="O37" s="8">
        <v>8018</v>
      </c>
      <c r="P37" s="10">
        <v>8018</v>
      </c>
      <c r="Q37" s="31">
        <f t="shared" si="33"/>
        <v>1</v>
      </c>
      <c r="R37" s="34">
        <v>4527</v>
      </c>
      <c r="S37" s="31"/>
      <c r="T37" s="31">
        <f t="shared" si="34"/>
        <v>0</v>
      </c>
      <c r="U37" s="34"/>
      <c r="V37" s="31"/>
      <c r="W37" s="31">
        <f t="shared" si="35"/>
        <v>0</v>
      </c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13">
        <f t="shared" si="36"/>
        <v>57889</v>
      </c>
      <c r="AQ37" s="13">
        <f t="shared" si="37"/>
        <v>50001</v>
      </c>
      <c r="AR37" s="31">
        <f t="shared" si="38"/>
        <v>0.86373922506866585</v>
      </c>
    </row>
    <row r="38" spans="2:44" ht="15" hidden="1" customHeight="1" x14ac:dyDescent="0.25">
      <c r="B38" s="15">
        <f t="shared" si="39"/>
        <v>7</v>
      </c>
      <c r="C38" s="7" t="s">
        <v>17</v>
      </c>
      <c r="D38" s="8">
        <v>39686</v>
      </c>
      <c r="E38" s="14"/>
      <c r="F38" s="30">
        <v>4223</v>
      </c>
      <c r="G38" s="10">
        <f>3885</f>
        <v>3885</v>
      </c>
      <c r="H38" s="31">
        <f t="shared" si="30"/>
        <v>0.9199621122424817</v>
      </c>
      <c r="I38" s="11">
        <v>4044</v>
      </c>
      <c r="J38" s="12">
        <f>3023</f>
        <v>3023</v>
      </c>
      <c r="K38" s="31">
        <f t="shared" si="31"/>
        <v>0.74752720079129575</v>
      </c>
      <c r="L38" s="10">
        <v>5027</v>
      </c>
      <c r="M38" s="10">
        <v>3892</v>
      </c>
      <c r="N38" s="31">
        <f t="shared" si="32"/>
        <v>0.77421921623234535</v>
      </c>
      <c r="O38" s="8">
        <v>2628</v>
      </c>
      <c r="P38" s="10">
        <v>2206</v>
      </c>
      <c r="Q38" s="31">
        <f t="shared" si="33"/>
        <v>0.83942161339421617</v>
      </c>
      <c r="R38" s="34">
        <v>3123</v>
      </c>
      <c r="S38" s="31"/>
      <c r="T38" s="31">
        <f t="shared" si="34"/>
        <v>0</v>
      </c>
      <c r="U38" s="34"/>
      <c r="V38" s="31"/>
      <c r="W38" s="31">
        <f t="shared" si="35"/>
        <v>0</v>
      </c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13">
        <f t="shared" si="36"/>
        <v>19045</v>
      </c>
      <c r="AQ38" s="13">
        <f t="shared" si="37"/>
        <v>13006</v>
      </c>
      <c r="AR38" s="31">
        <f t="shared" si="38"/>
        <v>0.68290889997374637</v>
      </c>
    </row>
    <row r="39" spans="2:44" ht="15" hidden="1" customHeight="1" x14ac:dyDescent="0.25">
      <c r="B39" s="15">
        <f t="shared" si="39"/>
        <v>8</v>
      </c>
      <c r="C39" s="7" t="s">
        <v>18</v>
      </c>
      <c r="D39" s="8"/>
      <c r="E39" s="14"/>
      <c r="F39" s="30">
        <v>138</v>
      </c>
      <c r="G39" s="10">
        <v>78</v>
      </c>
      <c r="H39" s="31">
        <f t="shared" si="30"/>
        <v>0.56521739130434778</v>
      </c>
      <c r="I39" s="11">
        <v>375</v>
      </c>
      <c r="J39" s="12">
        <v>367</v>
      </c>
      <c r="K39" s="31">
        <f t="shared" si="31"/>
        <v>0.97866666666666668</v>
      </c>
      <c r="L39" s="10">
        <v>178</v>
      </c>
      <c r="M39" s="10">
        <v>128</v>
      </c>
      <c r="N39" s="31">
        <f t="shared" si="32"/>
        <v>0.7191011235955056</v>
      </c>
      <c r="O39" s="8">
        <v>85</v>
      </c>
      <c r="P39" s="10">
        <v>0</v>
      </c>
      <c r="Q39" s="31">
        <f t="shared" si="33"/>
        <v>0</v>
      </c>
      <c r="R39" s="34">
        <v>265</v>
      </c>
      <c r="S39" s="31"/>
      <c r="T39" s="31">
        <f t="shared" si="34"/>
        <v>0</v>
      </c>
      <c r="U39" s="34"/>
      <c r="V39" s="31"/>
      <c r="W39" s="31">
        <f t="shared" si="35"/>
        <v>0</v>
      </c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13">
        <f t="shared" si="36"/>
        <v>1041</v>
      </c>
      <c r="AQ39" s="13">
        <f t="shared" si="37"/>
        <v>573</v>
      </c>
      <c r="AR39" s="31">
        <f t="shared" si="38"/>
        <v>0.55043227665706052</v>
      </c>
    </row>
    <row r="40" spans="2:44" ht="15" hidden="1" customHeight="1" x14ac:dyDescent="0.25">
      <c r="B40" s="15">
        <f t="shared" si="39"/>
        <v>9</v>
      </c>
      <c r="C40" s="7" t="s">
        <v>19</v>
      </c>
      <c r="D40" s="8"/>
      <c r="E40" s="14"/>
      <c r="F40" s="30">
        <v>68</v>
      </c>
      <c r="G40" s="10">
        <v>68</v>
      </c>
      <c r="H40" s="31">
        <f t="shared" si="30"/>
        <v>1</v>
      </c>
      <c r="I40" s="11">
        <v>209</v>
      </c>
      <c r="J40" s="12">
        <v>21</v>
      </c>
      <c r="K40" s="31">
        <f t="shared" si="31"/>
        <v>0.10047846889952153</v>
      </c>
      <c r="L40" s="10">
        <v>188</v>
      </c>
      <c r="M40" s="10">
        <v>188</v>
      </c>
      <c r="N40" s="31">
        <f t="shared" si="32"/>
        <v>1</v>
      </c>
      <c r="O40" s="8">
        <v>0</v>
      </c>
      <c r="P40" s="10">
        <v>0</v>
      </c>
      <c r="Q40" s="31">
        <f t="shared" si="33"/>
        <v>0</v>
      </c>
      <c r="R40" s="34"/>
      <c r="S40" s="31"/>
      <c r="T40" s="31">
        <f t="shared" si="34"/>
        <v>0</v>
      </c>
      <c r="U40" s="34"/>
      <c r="V40" s="31"/>
      <c r="W40" s="31">
        <f t="shared" si="35"/>
        <v>0</v>
      </c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13">
        <f t="shared" si="36"/>
        <v>465</v>
      </c>
      <c r="AQ40" s="13">
        <f t="shared" si="37"/>
        <v>277</v>
      </c>
      <c r="AR40" s="31">
        <f t="shared" si="38"/>
        <v>0.5956989247311828</v>
      </c>
    </row>
    <row r="41" spans="2:44" ht="15" hidden="1" customHeight="1" x14ac:dyDescent="0.25">
      <c r="B41" s="15">
        <f t="shared" si="39"/>
        <v>10</v>
      </c>
      <c r="C41" s="7" t="s">
        <v>20</v>
      </c>
      <c r="D41" s="8">
        <v>182592</v>
      </c>
      <c r="E41" s="14"/>
      <c r="F41" s="30">
        <v>4286</v>
      </c>
      <c r="G41" s="10">
        <f>4936-650</f>
        <v>4286</v>
      </c>
      <c r="H41" s="31">
        <f t="shared" si="30"/>
        <v>1</v>
      </c>
      <c r="I41" s="11">
        <v>8242</v>
      </c>
      <c r="J41" s="12">
        <f>8386-524</f>
        <v>7862</v>
      </c>
      <c r="K41" s="31">
        <f t="shared" si="31"/>
        <v>0.95389468575588454</v>
      </c>
      <c r="L41" s="10">
        <v>7855</v>
      </c>
      <c r="M41" s="10">
        <v>7568</v>
      </c>
      <c r="N41" s="31">
        <f t="shared" si="32"/>
        <v>0.96346276257161045</v>
      </c>
      <c r="O41" s="8">
        <v>3221</v>
      </c>
      <c r="P41" s="10">
        <v>3221</v>
      </c>
      <c r="Q41" s="31">
        <f t="shared" si="33"/>
        <v>1</v>
      </c>
      <c r="R41" s="34">
        <v>3194</v>
      </c>
      <c r="S41" s="31"/>
      <c r="T41" s="31">
        <f t="shared" si="34"/>
        <v>0</v>
      </c>
      <c r="U41" s="34"/>
      <c r="V41" s="31"/>
      <c r="W41" s="31">
        <f t="shared" si="35"/>
        <v>0</v>
      </c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13">
        <f t="shared" si="36"/>
        <v>26798</v>
      </c>
      <c r="AQ41" s="13">
        <f t="shared" si="37"/>
        <v>22937</v>
      </c>
      <c r="AR41" s="31">
        <f t="shared" si="38"/>
        <v>0.85592208373759238</v>
      </c>
    </row>
    <row r="42" spans="2:44" ht="15" hidden="1" customHeight="1" x14ac:dyDescent="0.25">
      <c r="B42" s="15">
        <f t="shared" si="39"/>
        <v>11</v>
      </c>
      <c r="C42" s="7" t="s">
        <v>21</v>
      </c>
      <c r="D42" s="8">
        <v>22500</v>
      </c>
      <c r="E42" s="8"/>
      <c r="F42" s="30">
        <v>1859</v>
      </c>
      <c r="G42" s="10">
        <f>1652-1</f>
        <v>1651</v>
      </c>
      <c r="H42" s="31">
        <f t="shared" si="30"/>
        <v>0.88811188811188813</v>
      </c>
      <c r="I42" s="11">
        <v>1707</v>
      </c>
      <c r="J42" s="12">
        <f>1510-79</f>
        <v>1431</v>
      </c>
      <c r="K42" s="31">
        <f t="shared" si="31"/>
        <v>0.83831282952548325</v>
      </c>
      <c r="L42" s="10">
        <v>2505</v>
      </c>
      <c r="M42" s="10">
        <v>2247</v>
      </c>
      <c r="N42" s="31">
        <f t="shared" si="32"/>
        <v>0.89700598802395215</v>
      </c>
      <c r="O42" s="8">
        <v>2236</v>
      </c>
      <c r="P42" s="10">
        <v>1575</v>
      </c>
      <c r="Q42" s="31">
        <f t="shared" si="33"/>
        <v>0.70438282647584971</v>
      </c>
      <c r="R42" s="34">
        <v>1901</v>
      </c>
      <c r="S42" s="31"/>
      <c r="T42" s="31">
        <f t="shared" si="34"/>
        <v>0</v>
      </c>
      <c r="U42" s="34"/>
      <c r="V42" s="31"/>
      <c r="W42" s="31">
        <f t="shared" si="35"/>
        <v>0</v>
      </c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13">
        <f t="shared" si="36"/>
        <v>10208</v>
      </c>
      <c r="AQ42" s="13">
        <f t="shared" si="37"/>
        <v>6904</v>
      </c>
      <c r="AR42" s="31">
        <f t="shared" si="38"/>
        <v>0.67633228840125392</v>
      </c>
    </row>
    <row r="43" spans="2:44" ht="15" hidden="1" customHeight="1" x14ac:dyDescent="0.25">
      <c r="B43" s="15">
        <f t="shared" si="39"/>
        <v>12</v>
      </c>
      <c r="C43" s="7" t="s">
        <v>22</v>
      </c>
      <c r="D43" s="8">
        <v>5751</v>
      </c>
      <c r="E43" s="8"/>
      <c r="F43" s="30">
        <v>842</v>
      </c>
      <c r="G43" s="10">
        <v>602</v>
      </c>
      <c r="H43" s="31">
        <f t="shared" si="30"/>
        <v>0.71496437054631834</v>
      </c>
      <c r="I43" s="11"/>
      <c r="J43" s="12"/>
      <c r="K43" s="31">
        <f t="shared" si="31"/>
        <v>0</v>
      </c>
      <c r="L43" s="10">
        <v>747</v>
      </c>
      <c r="M43" s="10">
        <v>668</v>
      </c>
      <c r="N43" s="31">
        <f t="shared" si="32"/>
        <v>0.89424364123159306</v>
      </c>
      <c r="O43" s="8">
        <v>854</v>
      </c>
      <c r="P43" s="10">
        <v>702</v>
      </c>
      <c r="Q43" s="31">
        <f t="shared" si="33"/>
        <v>0.82201405152224827</v>
      </c>
      <c r="R43" s="34">
        <v>1436</v>
      </c>
      <c r="S43" s="31"/>
      <c r="T43" s="31">
        <f t="shared" si="34"/>
        <v>0</v>
      </c>
      <c r="U43" s="34"/>
      <c r="V43" s="31"/>
      <c r="W43" s="31">
        <f t="shared" si="35"/>
        <v>0</v>
      </c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13">
        <f t="shared" si="36"/>
        <v>3879</v>
      </c>
      <c r="AQ43" s="13">
        <f t="shared" si="37"/>
        <v>1972</v>
      </c>
      <c r="AR43" s="31">
        <f t="shared" si="38"/>
        <v>0.50837844805362209</v>
      </c>
    </row>
    <row r="44" spans="2:44" ht="15" hidden="1" customHeight="1" x14ac:dyDescent="0.25">
      <c r="B44" s="15">
        <f t="shared" si="39"/>
        <v>13</v>
      </c>
      <c r="C44" s="7" t="s">
        <v>23</v>
      </c>
      <c r="D44" s="8">
        <v>1266</v>
      </c>
      <c r="E44" s="8"/>
      <c r="F44" s="30">
        <v>208</v>
      </c>
      <c r="G44" s="10">
        <v>160</v>
      </c>
      <c r="H44" s="31">
        <f t="shared" si="30"/>
        <v>0.76923076923076927</v>
      </c>
      <c r="I44" s="11">
        <v>32</v>
      </c>
      <c r="J44" s="12">
        <v>12</v>
      </c>
      <c r="K44" s="31">
        <f t="shared" si="31"/>
        <v>0.375</v>
      </c>
      <c r="L44" s="10">
        <v>322</v>
      </c>
      <c r="M44" s="10">
        <v>322</v>
      </c>
      <c r="N44" s="31">
        <f t="shared" si="32"/>
        <v>1</v>
      </c>
      <c r="O44" s="8">
        <v>732</v>
      </c>
      <c r="P44" s="10">
        <v>98</v>
      </c>
      <c r="Q44" s="31">
        <f t="shared" si="33"/>
        <v>0.13387978142076504</v>
      </c>
      <c r="R44" s="34">
        <v>634</v>
      </c>
      <c r="S44" s="31"/>
      <c r="T44" s="31">
        <f t="shared" si="34"/>
        <v>0</v>
      </c>
      <c r="U44" s="34"/>
      <c r="V44" s="31"/>
      <c r="W44" s="31">
        <f t="shared" si="35"/>
        <v>0</v>
      </c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13">
        <f t="shared" si="36"/>
        <v>1928</v>
      </c>
      <c r="AQ44" s="13">
        <f t="shared" si="37"/>
        <v>592</v>
      </c>
      <c r="AR44" s="31">
        <f t="shared" si="38"/>
        <v>0.30705394190871371</v>
      </c>
    </row>
    <row r="45" spans="2:44" ht="15" hidden="1" customHeight="1" x14ac:dyDescent="0.25">
      <c r="B45" s="15">
        <f t="shared" si="39"/>
        <v>14</v>
      </c>
      <c r="C45" s="7" t="s">
        <v>24</v>
      </c>
      <c r="D45" s="8">
        <v>3640</v>
      </c>
      <c r="E45" s="8"/>
      <c r="F45" s="30">
        <v>1505</v>
      </c>
      <c r="G45" s="10">
        <v>975</v>
      </c>
      <c r="H45" s="31">
        <f t="shared" si="30"/>
        <v>0.64784053156146182</v>
      </c>
      <c r="I45" s="11">
        <v>658</v>
      </c>
      <c r="J45" s="12">
        <f>739-135</f>
        <v>604</v>
      </c>
      <c r="K45" s="31">
        <f t="shared" si="31"/>
        <v>0.91793313069908811</v>
      </c>
      <c r="L45" s="10">
        <v>54</v>
      </c>
      <c r="M45" s="10">
        <v>53</v>
      </c>
      <c r="N45" s="31">
        <f t="shared" si="32"/>
        <v>0.98148148148148151</v>
      </c>
      <c r="O45" s="8">
        <v>1190</v>
      </c>
      <c r="P45" s="10">
        <v>1190</v>
      </c>
      <c r="Q45" s="31">
        <f t="shared" si="33"/>
        <v>1</v>
      </c>
      <c r="R45" s="34">
        <v>533</v>
      </c>
      <c r="S45" s="31"/>
      <c r="T45" s="31">
        <f t="shared" si="34"/>
        <v>0</v>
      </c>
      <c r="U45" s="34"/>
      <c r="V45" s="31"/>
      <c r="W45" s="31">
        <f t="shared" si="35"/>
        <v>0</v>
      </c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13">
        <f t="shared" si="36"/>
        <v>3940</v>
      </c>
      <c r="AQ45" s="13">
        <f t="shared" si="37"/>
        <v>2822</v>
      </c>
      <c r="AR45" s="31">
        <f t="shared" si="38"/>
        <v>0.71624365482233499</v>
      </c>
    </row>
    <row r="46" spans="2:44" ht="15" hidden="1" customHeight="1" x14ac:dyDescent="0.25">
      <c r="B46" s="15">
        <f t="shared" si="39"/>
        <v>15</v>
      </c>
      <c r="C46" s="7" t="s">
        <v>25</v>
      </c>
      <c r="D46" s="8">
        <v>4434</v>
      </c>
      <c r="E46" s="8"/>
      <c r="F46" s="30"/>
      <c r="G46" s="16"/>
      <c r="H46" s="31">
        <f t="shared" si="30"/>
        <v>0</v>
      </c>
      <c r="I46" s="11"/>
      <c r="J46" s="11">
        <v>0</v>
      </c>
      <c r="K46" s="31">
        <f t="shared" si="31"/>
        <v>0</v>
      </c>
      <c r="L46" s="31"/>
      <c r="M46" s="10"/>
      <c r="N46" s="31">
        <f t="shared" si="32"/>
        <v>0</v>
      </c>
      <c r="O46" s="8">
        <v>0</v>
      </c>
      <c r="P46" s="16"/>
      <c r="Q46" s="31">
        <f t="shared" si="33"/>
        <v>0</v>
      </c>
      <c r="R46" s="34">
        <v>0</v>
      </c>
      <c r="S46" s="31"/>
      <c r="T46" s="31">
        <f t="shared" si="34"/>
        <v>0</v>
      </c>
      <c r="U46" s="34"/>
      <c r="V46" s="31"/>
      <c r="W46" s="31">
        <f t="shared" si="35"/>
        <v>0</v>
      </c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13">
        <f t="shared" si="36"/>
        <v>0</v>
      </c>
      <c r="AQ46" s="13">
        <f t="shared" si="37"/>
        <v>0</v>
      </c>
      <c r="AR46" s="31">
        <f t="shared" si="38"/>
        <v>0</v>
      </c>
    </row>
    <row r="47" spans="2:44" ht="15" hidden="1" customHeight="1" x14ac:dyDescent="0.25">
      <c r="B47" s="15">
        <f t="shared" si="39"/>
        <v>16</v>
      </c>
      <c r="C47" s="7" t="s">
        <v>26</v>
      </c>
      <c r="D47" s="8">
        <v>3199</v>
      </c>
      <c r="E47" s="8"/>
      <c r="F47" s="30"/>
      <c r="G47" s="11"/>
      <c r="H47" s="31">
        <f t="shared" si="30"/>
        <v>0</v>
      </c>
      <c r="I47" s="11"/>
      <c r="J47" s="11">
        <v>0</v>
      </c>
      <c r="K47" s="31">
        <f t="shared" si="31"/>
        <v>0</v>
      </c>
      <c r="L47" s="31"/>
      <c r="M47" s="10"/>
      <c r="N47" s="31">
        <f t="shared" si="32"/>
        <v>0</v>
      </c>
      <c r="O47" s="8">
        <v>0</v>
      </c>
      <c r="P47" s="11"/>
      <c r="Q47" s="31">
        <f t="shared" si="33"/>
        <v>0</v>
      </c>
      <c r="R47" s="34">
        <v>0</v>
      </c>
      <c r="S47" s="31"/>
      <c r="T47" s="31">
        <f t="shared" si="34"/>
        <v>0</v>
      </c>
      <c r="U47" s="34"/>
      <c r="V47" s="31"/>
      <c r="W47" s="31">
        <f t="shared" si="35"/>
        <v>0</v>
      </c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13">
        <f t="shared" si="36"/>
        <v>0</v>
      </c>
      <c r="AQ47" s="13">
        <f t="shared" si="37"/>
        <v>0</v>
      </c>
      <c r="AR47" s="31">
        <f t="shared" si="38"/>
        <v>0</v>
      </c>
    </row>
    <row r="48" spans="2:44" ht="15" hidden="1" customHeight="1" x14ac:dyDescent="0.25">
      <c r="B48" s="15">
        <v>17</v>
      </c>
      <c r="C48" s="7" t="s">
        <v>47</v>
      </c>
      <c r="D48" s="8"/>
      <c r="E48" s="8"/>
      <c r="F48" s="30"/>
      <c r="G48" s="11"/>
      <c r="H48" s="31">
        <f t="shared" si="30"/>
        <v>0</v>
      </c>
      <c r="I48" s="11"/>
      <c r="J48" s="11"/>
      <c r="K48" s="31">
        <f t="shared" si="31"/>
        <v>0</v>
      </c>
      <c r="L48" s="31"/>
      <c r="M48" s="10"/>
      <c r="N48" s="31">
        <f t="shared" si="32"/>
        <v>0</v>
      </c>
      <c r="O48" s="8"/>
      <c r="P48" s="11"/>
      <c r="Q48" s="31">
        <f t="shared" si="33"/>
        <v>0</v>
      </c>
      <c r="R48" s="34"/>
      <c r="S48" s="31"/>
      <c r="T48" s="31">
        <f t="shared" si="34"/>
        <v>0</v>
      </c>
      <c r="U48" s="34"/>
      <c r="V48" s="31"/>
      <c r="W48" s="31">
        <f t="shared" si="35"/>
        <v>0</v>
      </c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13">
        <f t="shared" si="36"/>
        <v>0</v>
      </c>
      <c r="AQ48" s="13">
        <f t="shared" si="37"/>
        <v>0</v>
      </c>
      <c r="AR48" s="31">
        <f t="shared" si="38"/>
        <v>0</v>
      </c>
    </row>
    <row r="49" spans="2:44" ht="15" hidden="1" customHeight="1" x14ac:dyDescent="0.25">
      <c r="B49" s="15">
        <f t="shared" ref="B49" si="40">B48+1</f>
        <v>18</v>
      </c>
      <c r="C49" s="7" t="s">
        <v>27</v>
      </c>
      <c r="D49" s="8"/>
      <c r="E49" s="8"/>
      <c r="F49" s="30"/>
      <c r="G49" s="11">
        <v>1006</v>
      </c>
      <c r="H49" s="31">
        <f t="shared" si="30"/>
        <v>0</v>
      </c>
      <c r="I49" s="11"/>
      <c r="J49" s="11">
        <v>6719</v>
      </c>
      <c r="K49" s="31">
        <f t="shared" si="31"/>
        <v>0</v>
      </c>
      <c r="L49" s="31"/>
      <c r="M49" s="10">
        <v>3081</v>
      </c>
      <c r="N49" s="31">
        <f t="shared" si="32"/>
        <v>0</v>
      </c>
      <c r="O49" s="8">
        <v>0</v>
      </c>
      <c r="P49" s="11">
        <v>6440</v>
      </c>
      <c r="Q49" s="31">
        <f t="shared" si="33"/>
        <v>0</v>
      </c>
      <c r="R49" s="34">
        <v>0</v>
      </c>
      <c r="S49" s="31"/>
      <c r="T49" s="31">
        <f t="shared" si="34"/>
        <v>0</v>
      </c>
      <c r="U49" s="34"/>
      <c r="V49" s="31"/>
      <c r="W49" s="31">
        <f t="shared" si="35"/>
        <v>0</v>
      </c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13">
        <f t="shared" si="36"/>
        <v>0</v>
      </c>
      <c r="AQ49" s="13">
        <f t="shared" si="37"/>
        <v>17246</v>
      </c>
      <c r="AR49" s="31">
        <f t="shared" si="38"/>
        <v>0</v>
      </c>
    </row>
    <row r="50" spans="2:44" ht="15.75" hidden="1" customHeight="1" x14ac:dyDescent="0.25">
      <c r="B50" s="17"/>
      <c r="C50" s="18" t="s">
        <v>28</v>
      </c>
      <c r="D50" s="19">
        <f>SUM(D32:D47)</f>
        <v>639897</v>
      </c>
      <c r="E50" s="80">
        <f>SUM(E32:E49)</f>
        <v>0</v>
      </c>
      <c r="F50" s="20">
        <f t="shared" ref="F50:I50" si="41">SUM(F32:F48)</f>
        <v>49601</v>
      </c>
      <c r="G50" s="20">
        <f>SUM(G32:G48)</f>
        <v>45310</v>
      </c>
      <c r="H50" s="32">
        <f>G50/F50</f>
        <v>0.91348964738614136</v>
      </c>
      <c r="I50" s="20">
        <f t="shared" si="41"/>
        <v>45351</v>
      </c>
      <c r="J50" s="20">
        <f>SUM(J32:J48)</f>
        <v>41571</v>
      </c>
      <c r="K50" s="32">
        <f>J50/I50</f>
        <v>0.91665012899384801</v>
      </c>
      <c r="L50" s="20">
        <f t="shared" ref="L50" si="42">SUM(L32:L48)</f>
        <v>38068</v>
      </c>
      <c r="M50" s="20">
        <f>SUM(M32:M48)</f>
        <v>34475</v>
      </c>
      <c r="N50" s="32">
        <f>M50/L50</f>
        <v>0.90561626562992537</v>
      </c>
      <c r="O50" s="20">
        <f t="shared" ref="O50" si="43">SUM(O32:O48)</f>
        <v>28196</v>
      </c>
      <c r="P50" s="20">
        <f>SUM(P32:P48)</f>
        <v>25912</v>
      </c>
      <c r="Q50" s="32">
        <f>P50/O50</f>
        <v>0.91899560221307985</v>
      </c>
      <c r="R50" s="20">
        <f t="shared" ref="R50" si="44">SUM(R32:R48)</f>
        <v>26173</v>
      </c>
      <c r="S50" s="20">
        <f>SUM(S32:S48)</f>
        <v>0</v>
      </c>
      <c r="T50" s="32">
        <f>S50/R50</f>
        <v>0</v>
      </c>
      <c r="U50" s="20"/>
      <c r="V50" s="20">
        <f>SUM(V32:V48)</f>
        <v>0</v>
      </c>
      <c r="W50" s="32" t="e">
        <f>V50/U50</f>
        <v>#DIV/0!</v>
      </c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20">
        <f>SUM(AP32:AP47)</f>
        <v>187389</v>
      </c>
      <c r="AQ50" s="20">
        <f>SUM(AQ32:AQ47)</f>
        <v>147268</v>
      </c>
      <c r="AR50" s="32">
        <f>AQ50/AP50</f>
        <v>0.78589458292642578</v>
      </c>
    </row>
    <row r="51" spans="2:44" ht="15.75" hidden="1" customHeight="1" x14ac:dyDescent="0.25">
      <c r="B51" s="17"/>
      <c r="C51" s="21" t="s">
        <v>29</v>
      </c>
      <c r="D51" s="19"/>
      <c r="E51" s="80"/>
      <c r="F51" s="20">
        <f>SUM(F32:F49)</f>
        <v>49601</v>
      </c>
      <c r="G51" s="20">
        <f>SUM(G32:G49)</f>
        <v>46316</v>
      </c>
      <c r="H51" s="32">
        <f>G51/F51</f>
        <v>0.93377149654240843</v>
      </c>
      <c r="I51" s="20">
        <f>SUM(I32:I49)</f>
        <v>45351</v>
      </c>
      <c r="J51" s="20">
        <f>SUM(J32:J49)</f>
        <v>48290</v>
      </c>
      <c r="K51" s="32">
        <f>J51/I51</f>
        <v>1.0648056272188045</v>
      </c>
      <c r="L51" s="20">
        <f>SUM(L32:L49)</f>
        <v>38068</v>
      </c>
      <c r="M51" s="20">
        <f>SUM(M32:M49)</f>
        <v>37556</v>
      </c>
      <c r="N51" s="32">
        <f>M51/L51</f>
        <v>0.98655038352421986</v>
      </c>
      <c r="O51" s="20">
        <f>SUM(O32:O49)</f>
        <v>28196</v>
      </c>
      <c r="P51" s="20">
        <f>SUM(P32:P49)</f>
        <v>32352</v>
      </c>
      <c r="Q51" s="32">
        <f>P51/O51</f>
        <v>1.1473967938714711</v>
      </c>
      <c r="R51" s="20">
        <f>SUM(R32:R49)</f>
        <v>26173</v>
      </c>
      <c r="S51" s="20">
        <f>SUM(S32:S49)</f>
        <v>0</v>
      </c>
      <c r="T51" s="32">
        <f>S51/R51</f>
        <v>0</v>
      </c>
      <c r="U51" s="20">
        <f>SUM(U32:U49)</f>
        <v>0</v>
      </c>
      <c r="V51" s="20">
        <f>SUM(V32:V49)</f>
        <v>0</v>
      </c>
      <c r="W51" s="32" t="e">
        <f>V51/U51</f>
        <v>#DIV/0!</v>
      </c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20">
        <f>SUM(AP32:AP49)</f>
        <v>187389</v>
      </c>
      <c r="AQ51" s="20">
        <f>SUM(AQ32:AQ49)</f>
        <v>164514</v>
      </c>
      <c r="AR51" s="32">
        <f>AQ51/AP51</f>
        <v>0.87792773321806505</v>
      </c>
    </row>
    <row r="52" spans="2:44" ht="15" hidden="1" customHeight="1" x14ac:dyDescent="0.25">
      <c r="B52" s="23"/>
      <c r="C52" s="7" t="s">
        <v>30</v>
      </c>
      <c r="D52" s="7"/>
      <c r="E52" s="7"/>
      <c r="F52" s="7">
        <v>21</v>
      </c>
      <c r="G52" s="7">
        <v>21</v>
      </c>
      <c r="H52" s="7"/>
      <c r="I52" s="7">
        <v>17</v>
      </c>
      <c r="J52" s="7">
        <v>17</v>
      </c>
      <c r="K52" s="7"/>
      <c r="L52" s="7">
        <v>18</v>
      </c>
      <c r="M52" s="7">
        <v>18</v>
      </c>
      <c r="N52" s="7"/>
      <c r="O52" s="7">
        <v>14</v>
      </c>
      <c r="P52" s="7">
        <v>14</v>
      </c>
      <c r="Q52" s="7"/>
      <c r="R52" s="7">
        <v>14</v>
      </c>
      <c r="S52" s="7">
        <v>14</v>
      </c>
      <c r="T52" s="7"/>
      <c r="U52" s="7">
        <v>14</v>
      </c>
      <c r="V52" s="7">
        <v>14</v>
      </c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13"/>
      <c r="AQ52" s="13"/>
      <c r="AR52" s="23"/>
    </row>
    <row r="53" spans="2:44" ht="15" hidden="1" customHeight="1" x14ac:dyDescent="0.25">
      <c r="B53" s="23"/>
      <c r="C53" s="25" t="s">
        <v>31</v>
      </c>
      <c r="D53" s="7"/>
      <c r="E53" s="8"/>
      <c r="F53" s="8">
        <f t="shared" ref="F53:G53" si="45">F50/F52</f>
        <v>2361.9523809523807</v>
      </c>
      <c r="G53" s="8">
        <f t="shared" si="45"/>
        <v>2157.6190476190477</v>
      </c>
      <c r="H53" s="8"/>
      <c r="I53" s="8">
        <f t="shared" ref="I53:J53" si="46">I50/I52</f>
        <v>2667.705882352941</v>
      </c>
      <c r="J53" s="8">
        <f t="shared" si="46"/>
        <v>2445.3529411764707</v>
      </c>
      <c r="K53" s="8"/>
      <c r="L53" s="8">
        <f t="shared" ref="L53:S53" si="47">L50/L52</f>
        <v>2114.8888888888887</v>
      </c>
      <c r="M53" s="8">
        <f t="shared" si="47"/>
        <v>1915.2777777777778</v>
      </c>
      <c r="N53" s="8"/>
      <c r="O53" s="8">
        <f t="shared" si="47"/>
        <v>2014</v>
      </c>
      <c r="P53" s="8">
        <f t="shared" si="47"/>
        <v>1850.8571428571429</v>
      </c>
      <c r="Q53" s="8"/>
      <c r="R53" s="8">
        <f t="shared" si="47"/>
        <v>1869.5</v>
      </c>
      <c r="S53" s="8">
        <f t="shared" si="47"/>
        <v>0</v>
      </c>
      <c r="T53" s="8"/>
      <c r="U53" s="8">
        <f t="shared" ref="U53:V53" si="48">U50/U52</f>
        <v>0</v>
      </c>
      <c r="V53" s="8">
        <f t="shared" si="48"/>
        <v>0</v>
      </c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13"/>
      <c r="AQ53" s="13"/>
      <c r="AR53" s="23"/>
    </row>
    <row r="54" spans="2:44" ht="15" hidden="1" customHeight="1" x14ac:dyDescent="0.25"/>
    <row r="55" spans="2:44" ht="15" hidden="1" customHeight="1" x14ac:dyDescent="0.25"/>
  </sheetData>
  <mergeCells count="32">
    <mergeCell ref="AP30:AR30"/>
    <mergeCell ref="AP3:AR3"/>
    <mergeCell ref="R3:T3"/>
    <mergeCell ref="R30:T30"/>
    <mergeCell ref="X3:Z3"/>
    <mergeCell ref="X30:Z30"/>
    <mergeCell ref="AA3:AC3"/>
    <mergeCell ref="AA30:AC30"/>
    <mergeCell ref="AD3:AF3"/>
    <mergeCell ref="AD30:AF30"/>
    <mergeCell ref="AJ3:AL3"/>
    <mergeCell ref="AM3:AO3"/>
    <mergeCell ref="O3:Q3"/>
    <mergeCell ref="O30:Q30"/>
    <mergeCell ref="U3:W3"/>
    <mergeCell ref="U30:W30"/>
    <mergeCell ref="AG3:AI3"/>
    <mergeCell ref="AG30:AI30"/>
    <mergeCell ref="E50:E51"/>
    <mergeCell ref="F3:H3"/>
    <mergeCell ref="I3:K3"/>
    <mergeCell ref="L3:N3"/>
    <mergeCell ref="L30:N30"/>
    <mergeCell ref="E23:E24"/>
    <mergeCell ref="F30:H30"/>
    <mergeCell ref="I30:K30"/>
    <mergeCell ref="B3:B4"/>
    <mergeCell ref="C3:C4"/>
    <mergeCell ref="E3:E4"/>
    <mergeCell ref="B30:B31"/>
    <mergeCell ref="C30:C31"/>
    <mergeCell ref="E30:E31"/>
  </mergeCells>
  <hyperlinks>
    <hyperlink ref="C26" r:id="rId1" display="RATA@" xr:uid="{00000000-0004-0000-0A00-000000000000}"/>
    <hyperlink ref="C53" r:id="rId2" xr:uid="{00000000-0004-0000-0A00-000001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56E8D-5D77-4796-B2C7-74296AF1F630}">
  <dimension ref="B2:AR55"/>
  <sheetViews>
    <sheetView topLeftCell="A2" zoomScale="80" zoomScaleNormal="80" workbookViewId="0">
      <pane xSplit="5" ySplit="3" topLeftCell="F5" activePane="bottomRight" state="frozen"/>
      <selection activeCell="A2" sqref="A2"/>
      <selection pane="topRight" activeCell="F2" sqref="F2"/>
      <selection pane="bottomLeft" activeCell="A5" sqref="A5"/>
      <selection pane="bottomRight" activeCell="O5" sqref="O5:O18"/>
    </sheetView>
  </sheetViews>
  <sheetFormatPr defaultRowHeight="15" x14ac:dyDescent="0.25"/>
  <cols>
    <col min="2" max="2" width="7.7109375" customWidth="1"/>
    <col min="3" max="3" width="26.28515625" customWidth="1"/>
    <col min="4" max="4" width="11.28515625" hidden="1" customWidth="1"/>
    <col min="5" max="5" width="11.7109375" hidden="1" customWidth="1"/>
    <col min="6" max="6" width="11.42578125" customWidth="1"/>
    <col min="7" max="41" width="12.28515625" customWidth="1"/>
    <col min="42" max="43" width="14.140625" customWidth="1"/>
  </cols>
  <sheetData>
    <row r="2" spans="2:44" ht="18.75" x14ac:dyDescent="0.3">
      <c r="C2" s="1" t="s">
        <v>72</v>
      </c>
    </row>
    <row r="3" spans="2:44" ht="27" customHeight="1" x14ac:dyDescent="0.25">
      <c r="B3" s="93" t="s">
        <v>0</v>
      </c>
      <c r="C3" s="95" t="s">
        <v>1</v>
      </c>
      <c r="D3" s="4" t="s">
        <v>2</v>
      </c>
      <c r="E3" s="97" t="s">
        <v>32</v>
      </c>
      <c r="F3" s="99" t="s">
        <v>33</v>
      </c>
      <c r="G3" s="100"/>
      <c r="H3" s="101"/>
      <c r="I3" s="99" t="s">
        <v>36</v>
      </c>
      <c r="J3" s="100"/>
      <c r="K3" s="101"/>
      <c r="L3" s="99" t="s">
        <v>37</v>
      </c>
      <c r="M3" s="100"/>
      <c r="N3" s="101"/>
      <c r="O3" s="99" t="s">
        <v>40</v>
      </c>
      <c r="P3" s="100"/>
      <c r="Q3" s="101"/>
      <c r="R3" s="99" t="s">
        <v>46</v>
      </c>
      <c r="S3" s="100"/>
      <c r="T3" s="101"/>
      <c r="U3" s="99" t="s">
        <v>54</v>
      </c>
      <c r="V3" s="100"/>
      <c r="W3" s="101"/>
      <c r="X3" s="99" t="s">
        <v>57</v>
      </c>
      <c r="Y3" s="100"/>
      <c r="Z3" s="101"/>
      <c r="AA3" s="99" t="s">
        <v>59</v>
      </c>
      <c r="AB3" s="100"/>
      <c r="AC3" s="101"/>
      <c r="AD3" s="99" t="s">
        <v>61</v>
      </c>
      <c r="AE3" s="100"/>
      <c r="AF3" s="101"/>
      <c r="AG3" s="99" t="s">
        <v>64</v>
      </c>
      <c r="AH3" s="100"/>
      <c r="AI3" s="101"/>
      <c r="AJ3" s="99" t="s">
        <v>66</v>
      </c>
      <c r="AK3" s="100"/>
      <c r="AL3" s="101"/>
      <c r="AM3" s="99" t="s">
        <v>69</v>
      </c>
      <c r="AN3" s="100"/>
      <c r="AO3" s="101"/>
      <c r="AP3" s="102" t="s">
        <v>8</v>
      </c>
      <c r="AQ3" s="103"/>
      <c r="AR3" s="104"/>
    </row>
    <row r="4" spans="2:44" ht="27" customHeight="1" x14ac:dyDescent="0.25">
      <c r="B4" s="94"/>
      <c r="C4" s="96"/>
      <c r="D4" s="4"/>
      <c r="E4" s="98"/>
      <c r="F4" s="5" t="s">
        <v>34</v>
      </c>
      <c r="G4" s="5" t="s">
        <v>35</v>
      </c>
      <c r="H4" s="5" t="s">
        <v>9</v>
      </c>
      <c r="I4" s="5" t="s">
        <v>34</v>
      </c>
      <c r="J4" s="5" t="s">
        <v>35</v>
      </c>
      <c r="K4" s="5" t="s">
        <v>9</v>
      </c>
      <c r="L4" s="5" t="s">
        <v>34</v>
      </c>
      <c r="M4" s="5" t="s">
        <v>35</v>
      </c>
      <c r="N4" s="5" t="s">
        <v>9</v>
      </c>
      <c r="O4" s="5" t="s">
        <v>34</v>
      </c>
      <c r="P4" s="5" t="s">
        <v>35</v>
      </c>
      <c r="Q4" s="5" t="s">
        <v>9</v>
      </c>
      <c r="R4" s="5" t="s">
        <v>34</v>
      </c>
      <c r="S4" s="5" t="s">
        <v>35</v>
      </c>
      <c r="T4" s="5" t="s">
        <v>9</v>
      </c>
      <c r="U4" s="5" t="s">
        <v>34</v>
      </c>
      <c r="V4" s="5" t="s">
        <v>35</v>
      </c>
      <c r="W4" s="5" t="s">
        <v>9</v>
      </c>
      <c r="X4" s="5" t="s">
        <v>34</v>
      </c>
      <c r="Y4" s="5" t="s">
        <v>35</v>
      </c>
      <c r="Z4" s="5" t="s">
        <v>9</v>
      </c>
      <c r="AA4" s="5" t="s">
        <v>34</v>
      </c>
      <c r="AB4" s="5" t="s">
        <v>35</v>
      </c>
      <c r="AC4" s="5" t="s">
        <v>9</v>
      </c>
      <c r="AD4" s="5" t="s">
        <v>34</v>
      </c>
      <c r="AE4" s="5" t="s">
        <v>35</v>
      </c>
      <c r="AF4" s="5" t="s">
        <v>9</v>
      </c>
      <c r="AG4" s="5" t="s">
        <v>34</v>
      </c>
      <c r="AH4" s="5" t="s">
        <v>35</v>
      </c>
      <c r="AI4" s="5" t="s">
        <v>9</v>
      </c>
      <c r="AJ4" s="5" t="s">
        <v>34</v>
      </c>
      <c r="AK4" s="5" t="s">
        <v>35</v>
      </c>
      <c r="AL4" s="5" t="s">
        <v>9</v>
      </c>
      <c r="AM4" s="5" t="s">
        <v>34</v>
      </c>
      <c r="AN4" s="5" t="s">
        <v>35</v>
      </c>
      <c r="AO4" s="5" t="s">
        <v>9</v>
      </c>
      <c r="AP4" s="33" t="s">
        <v>34</v>
      </c>
      <c r="AQ4" s="33" t="s">
        <v>35</v>
      </c>
      <c r="AR4" s="33" t="s">
        <v>9</v>
      </c>
    </row>
    <row r="5" spans="2:44" ht="27" customHeight="1" x14ac:dyDescent="0.25">
      <c r="B5" s="6">
        <v>1</v>
      </c>
      <c r="C5" s="7" t="s">
        <v>11</v>
      </c>
      <c r="D5" s="8">
        <v>32580</v>
      </c>
      <c r="E5" s="8"/>
      <c r="F5" s="29">
        <v>5450</v>
      </c>
      <c r="G5" s="10">
        <v>5450</v>
      </c>
      <c r="H5" s="31">
        <f>IFERROR(G5/F5,0)</f>
        <v>1</v>
      </c>
      <c r="I5" s="11">
        <v>5440</v>
      </c>
      <c r="J5" s="12">
        <v>5475</v>
      </c>
      <c r="K5" s="31">
        <f>IFERROR(J5/I5,0)</f>
        <v>1.0064338235294117</v>
      </c>
      <c r="L5" s="10">
        <v>5407.5</v>
      </c>
      <c r="M5" s="10">
        <v>5407.5</v>
      </c>
      <c r="N5" s="31">
        <f>IFERROR(M5/L5,0)</f>
        <v>1</v>
      </c>
      <c r="O5" s="34">
        <v>2720</v>
      </c>
      <c r="P5" s="35">
        <v>2720</v>
      </c>
      <c r="Q5" s="31">
        <f>IFERROR(P5/O5,0)</f>
        <v>1</v>
      </c>
      <c r="R5" s="34">
        <v>4070</v>
      </c>
      <c r="S5" s="35">
        <v>4070</v>
      </c>
      <c r="T5" s="31">
        <f>IFERROR(S5/R5,0)</f>
        <v>1</v>
      </c>
      <c r="U5" s="34"/>
      <c r="V5" s="35"/>
      <c r="W5" s="31">
        <f>IFERROR(V5/U5,0)</f>
        <v>0</v>
      </c>
      <c r="X5" s="10"/>
      <c r="Y5" s="10"/>
      <c r="Z5" s="31">
        <f>IFERROR(Y5/X5,0)</f>
        <v>0</v>
      </c>
      <c r="AA5" s="10"/>
      <c r="AB5" s="10"/>
      <c r="AC5" s="31">
        <f>IFERROR(AB5/AA5,0)</f>
        <v>0</v>
      </c>
      <c r="AD5" s="10"/>
      <c r="AE5" s="10"/>
      <c r="AF5" s="31">
        <f>IFERROR(AE5/AD5,0)</f>
        <v>0</v>
      </c>
      <c r="AG5" s="10"/>
      <c r="AH5" s="10"/>
      <c r="AI5" s="31">
        <f>IFERROR(AH5/AG5,0)</f>
        <v>0</v>
      </c>
      <c r="AJ5" s="10"/>
      <c r="AK5" s="10"/>
      <c r="AL5" s="31">
        <f>IFERROR(AK5/AJ5,0)</f>
        <v>0</v>
      </c>
      <c r="AM5" s="10"/>
      <c r="AN5" s="10"/>
      <c r="AO5" s="31">
        <f>IFERROR(AN5/AM5,0)</f>
        <v>0</v>
      </c>
      <c r="AP5" s="13">
        <f>F5+I5+L5+O5+R5+U5+X5+AA5+AD5+AG5+AJ5+AM5</f>
        <v>23087.5</v>
      </c>
      <c r="AQ5" s="13">
        <f>G5+J5+M5+P5+S5+V5+Y5+AB5+AE5+AH5+AK5+AN5</f>
        <v>23122.5</v>
      </c>
      <c r="AR5" s="31">
        <f>IFERROR(AQ5/AP5,0)</f>
        <v>1.0015159718462372</v>
      </c>
    </row>
    <row r="6" spans="2:44" ht="21" customHeight="1" x14ac:dyDescent="0.25">
      <c r="B6" s="6">
        <f>B5+1</f>
        <v>2</v>
      </c>
      <c r="C6" s="7" t="s">
        <v>12</v>
      </c>
      <c r="D6" s="8">
        <v>24192</v>
      </c>
      <c r="E6" s="14"/>
      <c r="F6" s="29">
        <v>4116</v>
      </c>
      <c r="G6" s="10">
        <v>4116</v>
      </c>
      <c r="H6" s="31">
        <f t="shared" ref="H6:H22" si="0">IFERROR(G6/F6,0)</f>
        <v>1</v>
      </c>
      <c r="I6" s="11">
        <v>2772</v>
      </c>
      <c r="J6" s="12">
        <v>2772</v>
      </c>
      <c r="K6" s="31">
        <f t="shared" ref="K6:K22" si="1">IFERROR(J6/I6,0)</f>
        <v>1</v>
      </c>
      <c r="L6" s="10">
        <v>3024</v>
      </c>
      <c r="M6" s="10">
        <v>3318</v>
      </c>
      <c r="N6" s="31">
        <f t="shared" ref="N6:N22" si="2">IFERROR(M6/L6,0)</f>
        <v>1.0972222222222223</v>
      </c>
      <c r="O6" s="34">
        <v>2730</v>
      </c>
      <c r="P6" s="35">
        <v>3264</v>
      </c>
      <c r="Q6" s="31">
        <f t="shared" ref="Q6:Q22" si="3">IFERROR(P6/O6,0)</f>
        <v>1.1956043956043956</v>
      </c>
      <c r="R6" s="34">
        <v>6102</v>
      </c>
      <c r="S6" s="35">
        <v>5800.5</v>
      </c>
      <c r="T6" s="31">
        <f t="shared" ref="T6:T22" si="4">IFERROR(S6/R6,0)</f>
        <v>0.95058997050147498</v>
      </c>
      <c r="U6" s="34"/>
      <c r="V6" s="35"/>
      <c r="W6" s="31">
        <f t="shared" ref="W6:W22" si="5">IFERROR(V6/U6,0)</f>
        <v>0</v>
      </c>
      <c r="X6" s="10"/>
      <c r="Y6" s="10"/>
      <c r="Z6" s="31">
        <f t="shared" ref="Z6:Z22" si="6">IFERROR(Y6/X6,0)</f>
        <v>0</v>
      </c>
      <c r="AA6" s="10"/>
      <c r="AB6" s="10"/>
      <c r="AC6" s="31">
        <f t="shared" ref="AC6:AC22" si="7">IFERROR(AB6/AA6,0)</f>
        <v>0</v>
      </c>
      <c r="AD6" s="10"/>
      <c r="AE6" s="10"/>
      <c r="AF6" s="31">
        <f t="shared" ref="AF6:AF22" si="8">IFERROR(AE6/AD6,0)</f>
        <v>0</v>
      </c>
      <c r="AG6" s="10"/>
      <c r="AH6" s="10"/>
      <c r="AI6" s="31">
        <f t="shared" ref="AI6:AI22" si="9">IFERROR(AH6/AG6,0)</f>
        <v>0</v>
      </c>
      <c r="AJ6" s="10"/>
      <c r="AK6" s="10"/>
      <c r="AL6" s="31">
        <f t="shared" ref="AL6:AL22" si="10">IFERROR(AK6/AJ6,0)</f>
        <v>0</v>
      </c>
      <c r="AM6" s="10"/>
      <c r="AN6" s="10"/>
      <c r="AO6" s="31">
        <f t="shared" ref="AO6:AO22" si="11">IFERROR(AN6/AM6,0)</f>
        <v>0</v>
      </c>
      <c r="AP6" s="13">
        <f t="shared" ref="AP6:AP22" si="12">F6+I6+L6+O6+R6+U6+X6+AA6+AD6+AG6+AJ6+AM6</f>
        <v>18744</v>
      </c>
      <c r="AQ6" s="13">
        <f t="shared" ref="AQ6:AQ22" si="13">G6+J6+M6+P6+S6+V6+Y6+AB6+AE6+AH6+AK6+AN6</f>
        <v>19270.5</v>
      </c>
      <c r="AR6" s="31">
        <f t="shared" ref="AR6:AR22" si="14">IFERROR(AQ6/AP6,0)</f>
        <v>1.0280889884763125</v>
      </c>
    </row>
    <row r="7" spans="2:44" ht="15.6" customHeight="1" x14ac:dyDescent="0.25">
      <c r="B7" s="6">
        <f t="shared" ref="B7:B22" si="15">B6+1</f>
        <v>3</v>
      </c>
      <c r="C7" s="7" t="s">
        <v>13</v>
      </c>
      <c r="D7" s="8">
        <v>81041</v>
      </c>
      <c r="E7" s="14"/>
      <c r="F7" s="29">
        <v>1560</v>
      </c>
      <c r="G7" s="10">
        <v>1560</v>
      </c>
      <c r="H7" s="31">
        <f t="shared" si="0"/>
        <v>1</v>
      </c>
      <c r="I7" s="11">
        <v>1830</v>
      </c>
      <c r="J7" s="12">
        <v>1831.8</v>
      </c>
      <c r="K7" s="31">
        <f t="shared" si="1"/>
        <v>1.0009836065573769</v>
      </c>
      <c r="L7" s="10">
        <v>2430</v>
      </c>
      <c r="M7" s="10">
        <v>2390.4</v>
      </c>
      <c r="N7" s="31">
        <f t="shared" si="2"/>
        <v>0.98370370370370375</v>
      </c>
      <c r="O7" s="34">
        <v>3792</v>
      </c>
      <c r="P7" s="35">
        <v>3792</v>
      </c>
      <c r="Q7" s="31">
        <f t="shared" si="3"/>
        <v>1</v>
      </c>
      <c r="R7" s="34">
        <v>1144.8</v>
      </c>
      <c r="S7" s="35">
        <v>1144.8</v>
      </c>
      <c r="T7" s="31">
        <f t="shared" si="4"/>
        <v>1</v>
      </c>
      <c r="U7" s="34"/>
      <c r="V7" s="35"/>
      <c r="W7" s="31">
        <f t="shared" si="5"/>
        <v>0</v>
      </c>
      <c r="X7" s="10"/>
      <c r="Y7" s="10"/>
      <c r="Z7" s="31">
        <f t="shared" si="6"/>
        <v>0</v>
      </c>
      <c r="AA7" s="10"/>
      <c r="AB7" s="10"/>
      <c r="AC7" s="31">
        <f t="shared" si="7"/>
        <v>0</v>
      </c>
      <c r="AD7" s="10"/>
      <c r="AE7" s="10"/>
      <c r="AF7" s="31">
        <f t="shared" si="8"/>
        <v>0</v>
      </c>
      <c r="AG7" s="10"/>
      <c r="AH7" s="10"/>
      <c r="AI7" s="31">
        <f t="shared" si="9"/>
        <v>0</v>
      </c>
      <c r="AJ7" s="10"/>
      <c r="AK7" s="10"/>
      <c r="AL7" s="31">
        <f t="shared" si="10"/>
        <v>0</v>
      </c>
      <c r="AM7" s="10"/>
      <c r="AN7" s="10"/>
      <c r="AO7" s="31">
        <f t="shared" si="11"/>
        <v>0</v>
      </c>
      <c r="AP7" s="13">
        <f t="shared" si="12"/>
        <v>10756.8</v>
      </c>
      <c r="AQ7" s="13">
        <f t="shared" si="13"/>
        <v>10719</v>
      </c>
      <c r="AR7" s="31">
        <f t="shared" si="14"/>
        <v>0.99648594377510047</v>
      </c>
    </row>
    <row r="8" spans="2:44" ht="15.6" customHeight="1" x14ac:dyDescent="0.25">
      <c r="B8" s="15">
        <f t="shared" si="15"/>
        <v>4</v>
      </c>
      <c r="C8" s="7" t="s">
        <v>14</v>
      </c>
      <c r="D8" s="8">
        <v>86039</v>
      </c>
      <c r="E8" s="14"/>
      <c r="F8" s="30">
        <v>0</v>
      </c>
      <c r="G8" s="10">
        <v>0</v>
      </c>
      <c r="H8" s="31">
        <f t="shared" si="0"/>
        <v>0</v>
      </c>
      <c r="I8" s="11">
        <v>2250</v>
      </c>
      <c r="J8" s="12">
        <v>2251.5</v>
      </c>
      <c r="K8" s="31">
        <f t="shared" si="1"/>
        <v>1.0006666666666666</v>
      </c>
      <c r="L8" s="10">
        <v>5936.25</v>
      </c>
      <c r="M8" s="10">
        <v>5936.25</v>
      </c>
      <c r="N8" s="31">
        <f t="shared" si="2"/>
        <v>1</v>
      </c>
      <c r="O8" s="34">
        <v>3750</v>
      </c>
      <c r="P8" s="35">
        <v>3745.5</v>
      </c>
      <c r="Q8" s="31">
        <f t="shared" si="3"/>
        <v>0.99880000000000002</v>
      </c>
      <c r="R8" s="34">
        <v>207</v>
      </c>
      <c r="S8" s="35">
        <v>207</v>
      </c>
      <c r="T8" s="31">
        <f t="shared" si="4"/>
        <v>1</v>
      </c>
      <c r="U8" s="34"/>
      <c r="V8" s="35"/>
      <c r="W8" s="31">
        <f t="shared" si="5"/>
        <v>0</v>
      </c>
      <c r="X8" s="10"/>
      <c r="Y8" s="10"/>
      <c r="Z8" s="31">
        <f t="shared" si="6"/>
        <v>0</v>
      </c>
      <c r="AA8" s="10"/>
      <c r="AB8" s="10"/>
      <c r="AC8" s="31">
        <f t="shared" si="7"/>
        <v>0</v>
      </c>
      <c r="AD8" s="10"/>
      <c r="AE8" s="10"/>
      <c r="AF8" s="31">
        <f t="shared" si="8"/>
        <v>0</v>
      </c>
      <c r="AG8" s="10"/>
      <c r="AH8" s="10"/>
      <c r="AI8" s="31">
        <f t="shared" si="9"/>
        <v>0</v>
      </c>
      <c r="AJ8" s="10"/>
      <c r="AK8" s="10"/>
      <c r="AL8" s="31">
        <f t="shared" si="10"/>
        <v>0</v>
      </c>
      <c r="AM8" s="10"/>
      <c r="AN8" s="10"/>
      <c r="AO8" s="31">
        <f t="shared" si="11"/>
        <v>0</v>
      </c>
      <c r="AP8" s="13">
        <f t="shared" si="12"/>
        <v>12143.25</v>
      </c>
      <c r="AQ8" s="13">
        <f t="shared" si="13"/>
        <v>12140.25</v>
      </c>
      <c r="AR8" s="31">
        <f t="shared" si="14"/>
        <v>0.99975294916929158</v>
      </c>
    </row>
    <row r="9" spans="2:44" ht="15.6" customHeight="1" x14ac:dyDescent="0.25">
      <c r="B9" s="15">
        <f t="shared" si="15"/>
        <v>5</v>
      </c>
      <c r="C9" s="7" t="s">
        <v>15</v>
      </c>
      <c r="D9" s="8">
        <v>51544</v>
      </c>
      <c r="E9" s="14"/>
      <c r="F9" s="30">
        <v>2589</v>
      </c>
      <c r="G9" s="10">
        <v>2589</v>
      </c>
      <c r="H9" s="31">
        <f t="shared" si="0"/>
        <v>1</v>
      </c>
      <c r="I9" s="11">
        <v>1863</v>
      </c>
      <c r="J9" s="12">
        <v>1863</v>
      </c>
      <c r="K9" s="31">
        <f t="shared" si="1"/>
        <v>1</v>
      </c>
      <c r="L9" s="10">
        <v>3492</v>
      </c>
      <c r="M9" s="10">
        <v>3493.5</v>
      </c>
      <c r="N9" s="31">
        <f t="shared" si="2"/>
        <v>1.0004295532646048</v>
      </c>
      <c r="O9" s="34">
        <v>975</v>
      </c>
      <c r="P9" s="35">
        <v>975</v>
      </c>
      <c r="Q9" s="31">
        <f t="shared" si="3"/>
        <v>1</v>
      </c>
      <c r="R9" s="34">
        <v>1816.5</v>
      </c>
      <c r="S9" s="35">
        <v>1831.5</v>
      </c>
      <c r="T9" s="31">
        <f t="shared" si="4"/>
        <v>1.0082576383154418</v>
      </c>
      <c r="U9" s="34"/>
      <c r="V9" s="35"/>
      <c r="W9" s="31">
        <f t="shared" si="5"/>
        <v>0</v>
      </c>
      <c r="X9" s="10"/>
      <c r="Y9" s="10"/>
      <c r="Z9" s="31">
        <f t="shared" si="6"/>
        <v>0</v>
      </c>
      <c r="AA9" s="10"/>
      <c r="AB9" s="10"/>
      <c r="AC9" s="31">
        <f t="shared" si="7"/>
        <v>0</v>
      </c>
      <c r="AD9" s="10"/>
      <c r="AE9" s="10"/>
      <c r="AF9" s="31">
        <f t="shared" si="8"/>
        <v>0</v>
      </c>
      <c r="AG9" s="10"/>
      <c r="AH9" s="10"/>
      <c r="AI9" s="31">
        <f t="shared" si="9"/>
        <v>0</v>
      </c>
      <c r="AJ9" s="10"/>
      <c r="AK9" s="10"/>
      <c r="AL9" s="31">
        <f t="shared" si="10"/>
        <v>0</v>
      </c>
      <c r="AM9" s="10"/>
      <c r="AN9" s="10"/>
      <c r="AO9" s="31">
        <f t="shared" si="11"/>
        <v>0</v>
      </c>
      <c r="AP9" s="13">
        <f t="shared" si="12"/>
        <v>10735.5</v>
      </c>
      <c r="AQ9" s="13">
        <f t="shared" si="13"/>
        <v>10752</v>
      </c>
      <c r="AR9" s="31">
        <f t="shared" si="14"/>
        <v>1.0015369568254855</v>
      </c>
    </row>
    <row r="10" spans="2:44" ht="15.6" customHeight="1" x14ac:dyDescent="0.25">
      <c r="B10" s="15">
        <f t="shared" si="15"/>
        <v>6</v>
      </c>
      <c r="C10" s="7" t="s">
        <v>16</v>
      </c>
      <c r="D10" s="8">
        <v>101433</v>
      </c>
      <c r="E10" s="14"/>
      <c r="F10" s="30">
        <v>14069</v>
      </c>
      <c r="G10" s="10">
        <v>14069</v>
      </c>
      <c r="H10" s="31">
        <f t="shared" si="0"/>
        <v>1</v>
      </c>
      <c r="I10" s="11">
        <v>8474</v>
      </c>
      <c r="J10" s="12">
        <v>8566</v>
      </c>
      <c r="K10" s="31">
        <f t="shared" si="1"/>
        <v>1.0108567382582017</v>
      </c>
      <c r="L10" s="10">
        <v>12244</v>
      </c>
      <c r="M10" s="10">
        <v>12244</v>
      </c>
      <c r="N10" s="31">
        <f t="shared" si="2"/>
        <v>1</v>
      </c>
      <c r="O10" s="34">
        <v>8010</v>
      </c>
      <c r="P10" s="35">
        <v>8187</v>
      </c>
      <c r="Q10" s="31">
        <f t="shared" si="3"/>
        <v>1.0220973782771536</v>
      </c>
      <c r="R10" s="34">
        <v>4386</v>
      </c>
      <c r="S10" s="35">
        <v>4422</v>
      </c>
      <c r="T10" s="31">
        <f t="shared" si="4"/>
        <v>1.0082079343365253</v>
      </c>
      <c r="U10" s="34"/>
      <c r="V10" s="35"/>
      <c r="W10" s="31">
        <f t="shared" si="5"/>
        <v>0</v>
      </c>
      <c r="X10" s="10"/>
      <c r="Y10" s="10"/>
      <c r="Z10" s="31">
        <f t="shared" si="6"/>
        <v>0</v>
      </c>
      <c r="AA10" s="10"/>
      <c r="AB10" s="10"/>
      <c r="AC10" s="31">
        <f t="shared" si="7"/>
        <v>0</v>
      </c>
      <c r="AD10" s="10"/>
      <c r="AE10" s="10"/>
      <c r="AF10" s="31">
        <f t="shared" si="8"/>
        <v>0</v>
      </c>
      <c r="AG10" s="10"/>
      <c r="AH10" s="10"/>
      <c r="AI10" s="31">
        <f t="shared" si="9"/>
        <v>0</v>
      </c>
      <c r="AJ10" s="10"/>
      <c r="AK10" s="10"/>
      <c r="AL10" s="31">
        <f t="shared" si="10"/>
        <v>0</v>
      </c>
      <c r="AM10" s="10"/>
      <c r="AN10" s="10"/>
      <c r="AO10" s="31">
        <f t="shared" si="11"/>
        <v>0</v>
      </c>
      <c r="AP10" s="13">
        <f t="shared" si="12"/>
        <v>47183</v>
      </c>
      <c r="AQ10" s="13">
        <f t="shared" si="13"/>
        <v>47488</v>
      </c>
      <c r="AR10" s="31">
        <f t="shared" si="14"/>
        <v>1.0064641926117457</v>
      </c>
    </row>
    <row r="11" spans="2:44" ht="15.6" customHeight="1" x14ac:dyDescent="0.25">
      <c r="B11" s="15">
        <f t="shared" si="15"/>
        <v>7</v>
      </c>
      <c r="C11" s="7" t="s">
        <v>17</v>
      </c>
      <c r="D11" s="8">
        <v>39686</v>
      </c>
      <c r="E11" s="14"/>
      <c r="F11" s="30">
        <v>3298.5</v>
      </c>
      <c r="G11" s="10">
        <v>3321</v>
      </c>
      <c r="H11" s="31">
        <f t="shared" si="0"/>
        <v>1.0068212824010914</v>
      </c>
      <c r="I11" s="11">
        <v>1729.5</v>
      </c>
      <c r="J11" s="12">
        <v>1734</v>
      </c>
      <c r="K11" s="31">
        <f t="shared" si="1"/>
        <v>1.002601908065915</v>
      </c>
      <c r="L11" s="10">
        <v>855</v>
      </c>
      <c r="M11" s="10">
        <v>1129.5</v>
      </c>
      <c r="N11" s="31">
        <f t="shared" si="2"/>
        <v>1.3210526315789475</v>
      </c>
      <c r="O11" s="34">
        <v>1170</v>
      </c>
      <c r="P11" s="35">
        <v>1350</v>
      </c>
      <c r="Q11" s="31">
        <f t="shared" si="3"/>
        <v>1.1538461538461537</v>
      </c>
      <c r="R11" s="34">
        <v>1935</v>
      </c>
      <c r="S11" s="35">
        <v>1935</v>
      </c>
      <c r="T11" s="31">
        <f t="shared" si="4"/>
        <v>1</v>
      </c>
      <c r="U11" s="34"/>
      <c r="V11" s="35"/>
      <c r="W11" s="31">
        <f t="shared" si="5"/>
        <v>0</v>
      </c>
      <c r="X11" s="10"/>
      <c r="Y11" s="10"/>
      <c r="Z11" s="31">
        <f t="shared" si="6"/>
        <v>0</v>
      </c>
      <c r="AA11" s="10"/>
      <c r="AB11" s="10"/>
      <c r="AC11" s="31">
        <f t="shared" si="7"/>
        <v>0</v>
      </c>
      <c r="AD11" s="10"/>
      <c r="AE11" s="10"/>
      <c r="AF11" s="31">
        <f t="shared" si="8"/>
        <v>0</v>
      </c>
      <c r="AG11" s="10"/>
      <c r="AH11" s="10"/>
      <c r="AI11" s="31">
        <f t="shared" si="9"/>
        <v>0</v>
      </c>
      <c r="AJ11" s="10"/>
      <c r="AK11" s="10"/>
      <c r="AL11" s="31">
        <f t="shared" si="10"/>
        <v>0</v>
      </c>
      <c r="AM11" s="10"/>
      <c r="AN11" s="10"/>
      <c r="AO11" s="31">
        <f t="shared" si="11"/>
        <v>0</v>
      </c>
      <c r="AP11" s="13">
        <f t="shared" si="12"/>
        <v>8988</v>
      </c>
      <c r="AQ11" s="13">
        <f t="shared" si="13"/>
        <v>9469.5</v>
      </c>
      <c r="AR11" s="31">
        <f t="shared" si="14"/>
        <v>1.0535714285714286</v>
      </c>
    </row>
    <row r="12" spans="2:44" ht="15.6" customHeight="1" x14ac:dyDescent="0.25">
      <c r="B12" s="15">
        <f t="shared" si="15"/>
        <v>8</v>
      </c>
      <c r="C12" s="7" t="s">
        <v>18</v>
      </c>
      <c r="D12" s="8"/>
      <c r="E12" s="14"/>
      <c r="F12" s="30">
        <v>0</v>
      </c>
      <c r="G12" s="10">
        <v>0</v>
      </c>
      <c r="H12" s="31">
        <f t="shared" si="0"/>
        <v>0</v>
      </c>
      <c r="I12" s="11">
        <v>0</v>
      </c>
      <c r="J12" s="12">
        <v>0</v>
      </c>
      <c r="K12" s="31">
        <f t="shared" si="1"/>
        <v>0</v>
      </c>
      <c r="L12" s="10">
        <v>0</v>
      </c>
      <c r="M12" s="10">
        <v>0</v>
      </c>
      <c r="N12" s="31">
        <f t="shared" si="2"/>
        <v>0</v>
      </c>
      <c r="O12" s="34">
        <v>0</v>
      </c>
      <c r="P12" s="35">
        <v>0</v>
      </c>
      <c r="Q12" s="31">
        <f t="shared" si="3"/>
        <v>0</v>
      </c>
      <c r="R12" s="34">
        <v>0</v>
      </c>
      <c r="S12" s="35">
        <v>0</v>
      </c>
      <c r="T12" s="31">
        <f t="shared" si="4"/>
        <v>0</v>
      </c>
      <c r="U12" s="34"/>
      <c r="V12" s="35"/>
      <c r="W12" s="31">
        <f t="shared" si="5"/>
        <v>0</v>
      </c>
      <c r="X12" s="10"/>
      <c r="Y12" s="10"/>
      <c r="Z12" s="31">
        <f t="shared" si="6"/>
        <v>0</v>
      </c>
      <c r="AA12" s="10"/>
      <c r="AB12" s="10"/>
      <c r="AC12" s="31">
        <f t="shared" si="7"/>
        <v>0</v>
      </c>
      <c r="AD12" s="10"/>
      <c r="AE12" s="10"/>
      <c r="AF12" s="31">
        <f t="shared" si="8"/>
        <v>0</v>
      </c>
      <c r="AG12" s="10"/>
      <c r="AH12" s="10"/>
      <c r="AI12" s="31">
        <f t="shared" si="9"/>
        <v>0</v>
      </c>
      <c r="AJ12" s="10"/>
      <c r="AK12" s="10"/>
      <c r="AL12" s="31">
        <f t="shared" si="10"/>
        <v>0</v>
      </c>
      <c r="AM12" s="10"/>
      <c r="AN12" s="10"/>
      <c r="AO12" s="31">
        <f t="shared" si="11"/>
        <v>0</v>
      </c>
      <c r="AP12" s="13">
        <f t="shared" si="12"/>
        <v>0</v>
      </c>
      <c r="AQ12" s="13">
        <f t="shared" si="13"/>
        <v>0</v>
      </c>
      <c r="AR12" s="31">
        <f t="shared" si="14"/>
        <v>0</v>
      </c>
    </row>
    <row r="13" spans="2:44" ht="15.6" customHeight="1" x14ac:dyDescent="0.25">
      <c r="B13" s="15">
        <f t="shared" si="15"/>
        <v>9</v>
      </c>
      <c r="C13" s="7" t="s">
        <v>19</v>
      </c>
      <c r="D13" s="8"/>
      <c r="E13" s="14"/>
      <c r="F13" s="30">
        <v>0</v>
      </c>
      <c r="G13" s="10">
        <v>0</v>
      </c>
      <c r="H13" s="31">
        <f t="shared" si="0"/>
        <v>0</v>
      </c>
      <c r="I13" s="11">
        <v>0</v>
      </c>
      <c r="J13" s="12">
        <v>0</v>
      </c>
      <c r="K13" s="31">
        <f t="shared" si="1"/>
        <v>0</v>
      </c>
      <c r="L13" s="10">
        <v>0</v>
      </c>
      <c r="M13" s="10">
        <v>15</v>
      </c>
      <c r="N13" s="31">
        <f t="shared" si="2"/>
        <v>0</v>
      </c>
      <c r="O13" s="34">
        <v>0</v>
      </c>
      <c r="P13" s="35">
        <v>0</v>
      </c>
      <c r="Q13" s="31">
        <f t="shared" si="3"/>
        <v>0</v>
      </c>
      <c r="R13" s="34">
        <v>0</v>
      </c>
      <c r="S13" s="35">
        <v>0</v>
      </c>
      <c r="T13" s="31">
        <f t="shared" si="4"/>
        <v>0</v>
      </c>
      <c r="U13" s="34"/>
      <c r="V13" s="35"/>
      <c r="W13" s="31">
        <f t="shared" si="5"/>
        <v>0</v>
      </c>
      <c r="X13" s="10"/>
      <c r="Y13" s="10"/>
      <c r="Z13" s="31">
        <f t="shared" si="6"/>
        <v>0</v>
      </c>
      <c r="AA13" s="10"/>
      <c r="AB13" s="10"/>
      <c r="AC13" s="31">
        <f t="shared" si="7"/>
        <v>0</v>
      </c>
      <c r="AD13" s="10"/>
      <c r="AE13" s="10"/>
      <c r="AF13" s="31">
        <f t="shared" si="8"/>
        <v>0</v>
      </c>
      <c r="AG13" s="10"/>
      <c r="AH13" s="10"/>
      <c r="AI13" s="31">
        <f t="shared" si="9"/>
        <v>0</v>
      </c>
      <c r="AJ13" s="10"/>
      <c r="AK13" s="10"/>
      <c r="AL13" s="31">
        <f t="shared" si="10"/>
        <v>0</v>
      </c>
      <c r="AM13" s="10"/>
      <c r="AN13" s="10"/>
      <c r="AO13" s="31">
        <f t="shared" si="11"/>
        <v>0</v>
      </c>
      <c r="AP13" s="13">
        <f t="shared" si="12"/>
        <v>0</v>
      </c>
      <c r="AQ13" s="13">
        <f t="shared" si="13"/>
        <v>15</v>
      </c>
      <c r="AR13" s="31">
        <f t="shared" si="14"/>
        <v>0</v>
      </c>
    </row>
    <row r="14" spans="2:44" ht="15.6" customHeight="1" x14ac:dyDescent="0.25">
      <c r="B14" s="15">
        <f t="shared" si="15"/>
        <v>10</v>
      </c>
      <c r="C14" s="7" t="s">
        <v>20</v>
      </c>
      <c r="D14" s="8">
        <v>182592</v>
      </c>
      <c r="E14" s="14"/>
      <c r="F14" s="30">
        <v>2937</v>
      </c>
      <c r="G14" s="10">
        <v>2937</v>
      </c>
      <c r="H14" s="31">
        <f t="shared" si="0"/>
        <v>1</v>
      </c>
      <c r="I14" s="11">
        <v>5002.5</v>
      </c>
      <c r="J14" s="12">
        <v>5077.5</v>
      </c>
      <c r="K14" s="31">
        <f t="shared" si="1"/>
        <v>1.014992503748126</v>
      </c>
      <c r="L14" s="10">
        <v>2235</v>
      </c>
      <c r="M14" s="10">
        <v>2517</v>
      </c>
      <c r="N14" s="31">
        <f t="shared" si="2"/>
        <v>1.1261744966442953</v>
      </c>
      <c r="O14" s="34">
        <v>2079</v>
      </c>
      <c r="P14" s="35">
        <v>2079</v>
      </c>
      <c r="Q14" s="31">
        <f t="shared" si="3"/>
        <v>1</v>
      </c>
      <c r="R14" s="34">
        <v>1998</v>
      </c>
      <c r="S14" s="35">
        <v>1998</v>
      </c>
      <c r="T14" s="31">
        <f t="shared" si="4"/>
        <v>1</v>
      </c>
      <c r="U14" s="34"/>
      <c r="V14" s="35"/>
      <c r="W14" s="31">
        <f t="shared" si="5"/>
        <v>0</v>
      </c>
      <c r="X14" s="10"/>
      <c r="Y14" s="10"/>
      <c r="Z14" s="31">
        <f t="shared" si="6"/>
        <v>0</v>
      </c>
      <c r="AA14" s="10"/>
      <c r="AB14" s="10"/>
      <c r="AC14" s="31">
        <f t="shared" si="7"/>
        <v>0</v>
      </c>
      <c r="AD14" s="10"/>
      <c r="AE14" s="10"/>
      <c r="AF14" s="31">
        <f t="shared" si="8"/>
        <v>0</v>
      </c>
      <c r="AG14" s="10"/>
      <c r="AH14" s="10"/>
      <c r="AI14" s="31">
        <f t="shared" si="9"/>
        <v>0</v>
      </c>
      <c r="AJ14" s="10"/>
      <c r="AK14" s="10"/>
      <c r="AL14" s="31">
        <f t="shared" si="10"/>
        <v>0</v>
      </c>
      <c r="AM14" s="10"/>
      <c r="AN14" s="10"/>
      <c r="AO14" s="31">
        <f t="shared" si="11"/>
        <v>0</v>
      </c>
      <c r="AP14" s="13">
        <f t="shared" si="12"/>
        <v>14251.5</v>
      </c>
      <c r="AQ14" s="13">
        <f t="shared" si="13"/>
        <v>14608.5</v>
      </c>
      <c r="AR14" s="31">
        <f t="shared" si="14"/>
        <v>1.0250499947373961</v>
      </c>
    </row>
    <row r="15" spans="2:44" ht="15.6" customHeight="1" x14ac:dyDescent="0.25">
      <c r="B15" s="15">
        <f t="shared" si="15"/>
        <v>11</v>
      </c>
      <c r="C15" s="7" t="s">
        <v>48</v>
      </c>
      <c r="D15" s="8">
        <v>22500</v>
      </c>
      <c r="E15" s="8"/>
      <c r="F15" s="30">
        <v>1339.5</v>
      </c>
      <c r="G15" s="10">
        <v>1350</v>
      </c>
      <c r="H15" s="31">
        <f t="shared" si="0"/>
        <v>1.0078387458006719</v>
      </c>
      <c r="I15" s="11">
        <v>1449</v>
      </c>
      <c r="J15" s="12">
        <v>2121</v>
      </c>
      <c r="K15" s="31">
        <f t="shared" si="1"/>
        <v>1.463768115942029</v>
      </c>
      <c r="L15" s="10">
        <v>1393.5</v>
      </c>
      <c r="M15" s="10">
        <v>1722</v>
      </c>
      <c r="N15" s="31">
        <f t="shared" si="2"/>
        <v>1.2357373519913886</v>
      </c>
      <c r="O15" s="34">
        <v>2068.5</v>
      </c>
      <c r="P15" s="35">
        <v>2508</v>
      </c>
      <c r="Q15" s="31">
        <f t="shared" si="3"/>
        <v>1.2124728063814358</v>
      </c>
      <c r="R15" s="34">
        <v>3183</v>
      </c>
      <c r="S15" s="35">
        <v>2974.5</v>
      </c>
      <c r="T15" s="31">
        <f t="shared" si="4"/>
        <v>0.93449575871819035</v>
      </c>
      <c r="U15" s="34"/>
      <c r="V15" s="35"/>
      <c r="W15" s="31">
        <f t="shared" si="5"/>
        <v>0</v>
      </c>
      <c r="X15" s="10"/>
      <c r="Y15" s="10"/>
      <c r="Z15" s="31">
        <f t="shared" si="6"/>
        <v>0</v>
      </c>
      <c r="AA15" s="10"/>
      <c r="AB15" s="10"/>
      <c r="AC15" s="31">
        <f t="shared" si="7"/>
        <v>0</v>
      </c>
      <c r="AD15" s="10"/>
      <c r="AE15" s="10"/>
      <c r="AF15" s="31">
        <f t="shared" si="8"/>
        <v>0</v>
      </c>
      <c r="AG15" s="10"/>
      <c r="AH15" s="10"/>
      <c r="AI15" s="31">
        <f t="shared" si="9"/>
        <v>0</v>
      </c>
      <c r="AJ15" s="10"/>
      <c r="AK15" s="10"/>
      <c r="AL15" s="31">
        <f t="shared" si="10"/>
        <v>0</v>
      </c>
      <c r="AM15" s="10"/>
      <c r="AN15" s="10"/>
      <c r="AO15" s="31">
        <f t="shared" si="11"/>
        <v>0</v>
      </c>
      <c r="AP15" s="13">
        <f t="shared" si="12"/>
        <v>9433.5</v>
      </c>
      <c r="AQ15" s="13">
        <f t="shared" si="13"/>
        <v>10675.5</v>
      </c>
      <c r="AR15" s="31">
        <f t="shared" si="14"/>
        <v>1.1316584512641119</v>
      </c>
    </row>
    <row r="16" spans="2:44" ht="15.6" customHeight="1" x14ac:dyDescent="0.25">
      <c r="B16" s="15">
        <f t="shared" si="15"/>
        <v>12</v>
      </c>
      <c r="C16" s="7" t="s">
        <v>22</v>
      </c>
      <c r="D16" s="8">
        <v>5751</v>
      </c>
      <c r="E16" s="8"/>
      <c r="F16" s="30">
        <v>0</v>
      </c>
      <c r="G16" s="10">
        <v>266</v>
      </c>
      <c r="H16" s="31">
        <f t="shared" si="0"/>
        <v>0</v>
      </c>
      <c r="I16" s="11">
        <v>0</v>
      </c>
      <c r="J16" s="12">
        <v>122</v>
      </c>
      <c r="K16" s="31">
        <f t="shared" si="1"/>
        <v>0</v>
      </c>
      <c r="L16" s="10">
        <v>0</v>
      </c>
      <c r="M16" s="10">
        <v>697</v>
      </c>
      <c r="N16" s="31">
        <f t="shared" si="2"/>
        <v>0</v>
      </c>
      <c r="O16" s="34">
        <v>0</v>
      </c>
      <c r="P16" s="35">
        <v>395</v>
      </c>
      <c r="Q16" s="31">
        <f t="shared" si="3"/>
        <v>0</v>
      </c>
      <c r="R16" s="34">
        <v>0</v>
      </c>
      <c r="S16" s="35">
        <v>657</v>
      </c>
      <c r="T16" s="31">
        <f t="shared" si="4"/>
        <v>0</v>
      </c>
      <c r="U16" s="34"/>
      <c r="V16" s="35"/>
      <c r="W16" s="31">
        <f t="shared" si="5"/>
        <v>0</v>
      </c>
      <c r="X16" s="10"/>
      <c r="Y16" s="10"/>
      <c r="Z16" s="31">
        <f t="shared" si="6"/>
        <v>0</v>
      </c>
      <c r="AA16" s="10"/>
      <c r="AB16" s="10"/>
      <c r="AC16" s="31">
        <f t="shared" si="7"/>
        <v>0</v>
      </c>
      <c r="AD16" s="10"/>
      <c r="AE16" s="10"/>
      <c r="AF16" s="31">
        <f t="shared" si="8"/>
        <v>0</v>
      </c>
      <c r="AG16" s="10"/>
      <c r="AH16" s="10"/>
      <c r="AI16" s="31">
        <f t="shared" si="9"/>
        <v>0</v>
      </c>
      <c r="AJ16" s="10"/>
      <c r="AK16" s="10"/>
      <c r="AL16" s="31">
        <f t="shared" si="10"/>
        <v>0</v>
      </c>
      <c r="AM16" s="10"/>
      <c r="AN16" s="10"/>
      <c r="AO16" s="31">
        <f t="shared" si="11"/>
        <v>0</v>
      </c>
      <c r="AP16" s="13">
        <f t="shared" si="12"/>
        <v>0</v>
      </c>
      <c r="AQ16" s="13">
        <f t="shared" si="13"/>
        <v>2137</v>
      </c>
      <c r="AR16" s="31">
        <f t="shared" si="14"/>
        <v>0</v>
      </c>
    </row>
    <row r="17" spans="2:44" ht="15.6" customHeight="1" x14ac:dyDescent="0.25">
      <c r="B17" s="15">
        <f t="shared" si="15"/>
        <v>13</v>
      </c>
      <c r="C17" s="7" t="s">
        <v>23</v>
      </c>
      <c r="D17" s="8">
        <v>1266</v>
      </c>
      <c r="E17" s="8"/>
      <c r="F17" s="30">
        <v>800</v>
      </c>
      <c r="G17" s="10">
        <v>800</v>
      </c>
      <c r="H17" s="31">
        <f t="shared" si="0"/>
        <v>1</v>
      </c>
      <c r="I17" s="11">
        <v>1327</v>
      </c>
      <c r="J17" s="12">
        <v>1327</v>
      </c>
      <c r="K17" s="31">
        <f t="shared" si="1"/>
        <v>1</v>
      </c>
      <c r="L17" s="10">
        <v>32</v>
      </c>
      <c r="M17" s="10">
        <v>32</v>
      </c>
      <c r="N17" s="31">
        <f t="shared" si="2"/>
        <v>1</v>
      </c>
      <c r="O17" s="34">
        <v>0</v>
      </c>
      <c r="P17" s="35">
        <v>0</v>
      </c>
      <c r="Q17" s="31">
        <f t="shared" si="3"/>
        <v>0</v>
      </c>
      <c r="R17" s="34">
        <v>85</v>
      </c>
      <c r="S17" s="35">
        <v>97.5</v>
      </c>
      <c r="T17" s="31">
        <f t="shared" si="4"/>
        <v>1.1470588235294117</v>
      </c>
      <c r="U17" s="34"/>
      <c r="V17" s="35"/>
      <c r="W17" s="31">
        <f t="shared" si="5"/>
        <v>0</v>
      </c>
      <c r="X17" s="10"/>
      <c r="Y17" s="10"/>
      <c r="Z17" s="31">
        <f t="shared" si="6"/>
        <v>0</v>
      </c>
      <c r="AA17" s="10"/>
      <c r="AB17" s="10"/>
      <c r="AC17" s="31">
        <f t="shared" si="7"/>
        <v>0</v>
      </c>
      <c r="AD17" s="10"/>
      <c r="AE17" s="10"/>
      <c r="AF17" s="31">
        <f t="shared" si="8"/>
        <v>0</v>
      </c>
      <c r="AG17" s="10"/>
      <c r="AH17" s="10"/>
      <c r="AI17" s="31">
        <f t="shared" si="9"/>
        <v>0</v>
      </c>
      <c r="AJ17" s="10"/>
      <c r="AK17" s="10"/>
      <c r="AL17" s="31">
        <f t="shared" si="10"/>
        <v>0</v>
      </c>
      <c r="AM17" s="10"/>
      <c r="AN17" s="10"/>
      <c r="AO17" s="31">
        <f t="shared" si="11"/>
        <v>0</v>
      </c>
      <c r="AP17" s="13">
        <f t="shared" si="12"/>
        <v>2244</v>
      </c>
      <c r="AQ17" s="13">
        <f t="shared" si="13"/>
        <v>2256.5</v>
      </c>
      <c r="AR17" s="31">
        <f t="shared" si="14"/>
        <v>1.0055704099821747</v>
      </c>
    </row>
    <row r="18" spans="2:44" ht="15.6" customHeight="1" x14ac:dyDescent="0.25">
      <c r="B18" s="15">
        <f t="shared" si="15"/>
        <v>14</v>
      </c>
      <c r="C18" s="7" t="s">
        <v>24</v>
      </c>
      <c r="D18" s="8">
        <v>3640</v>
      </c>
      <c r="E18" s="8"/>
      <c r="F18" s="30">
        <v>2880</v>
      </c>
      <c r="G18" s="10">
        <v>2880</v>
      </c>
      <c r="H18" s="31">
        <f t="shared" si="0"/>
        <v>1</v>
      </c>
      <c r="I18" s="11"/>
      <c r="J18" s="12"/>
      <c r="K18" s="31">
        <f t="shared" si="1"/>
        <v>0</v>
      </c>
      <c r="L18" s="10">
        <v>80</v>
      </c>
      <c r="M18" s="10">
        <v>275</v>
      </c>
      <c r="N18" s="31">
        <f t="shared" si="2"/>
        <v>3.4375</v>
      </c>
      <c r="O18" s="34">
        <v>2020</v>
      </c>
      <c r="P18" s="35">
        <v>1820</v>
      </c>
      <c r="Q18" s="31">
        <f t="shared" si="3"/>
        <v>0.90099009900990101</v>
      </c>
      <c r="R18" s="34">
        <v>3160</v>
      </c>
      <c r="S18" s="35">
        <v>3160</v>
      </c>
      <c r="T18" s="31">
        <f t="shared" si="4"/>
        <v>1</v>
      </c>
      <c r="U18" s="34"/>
      <c r="V18" s="35"/>
      <c r="W18" s="31">
        <f t="shared" si="5"/>
        <v>0</v>
      </c>
      <c r="X18" s="10"/>
      <c r="Y18" s="10"/>
      <c r="Z18" s="31">
        <f t="shared" si="6"/>
        <v>0</v>
      </c>
      <c r="AA18" s="10"/>
      <c r="AB18" s="10"/>
      <c r="AC18" s="31">
        <f t="shared" si="7"/>
        <v>0</v>
      </c>
      <c r="AD18" s="10"/>
      <c r="AE18" s="10"/>
      <c r="AF18" s="31">
        <f t="shared" si="8"/>
        <v>0</v>
      </c>
      <c r="AG18" s="10"/>
      <c r="AH18" s="10"/>
      <c r="AI18" s="31">
        <f t="shared" si="9"/>
        <v>0</v>
      </c>
      <c r="AJ18" s="10"/>
      <c r="AK18" s="10"/>
      <c r="AL18" s="31">
        <f t="shared" si="10"/>
        <v>0</v>
      </c>
      <c r="AM18" s="10"/>
      <c r="AN18" s="10"/>
      <c r="AO18" s="31">
        <f t="shared" si="11"/>
        <v>0</v>
      </c>
      <c r="AP18" s="13">
        <f t="shared" si="12"/>
        <v>8140</v>
      </c>
      <c r="AQ18" s="13">
        <f t="shared" si="13"/>
        <v>8135</v>
      </c>
      <c r="AR18" s="31">
        <f t="shared" si="14"/>
        <v>0.99938574938574942</v>
      </c>
    </row>
    <row r="19" spans="2:44" ht="15.6" customHeight="1" x14ac:dyDescent="0.25">
      <c r="B19" s="15">
        <f t="shared" si="15"/>
        <v>15</v>
      </c>
      <c r="C19" s="7" t="s">
        <v>25</v>
      </c>
      <c r="D19" s="8">
        <v>4434</v>
      </c>
      <c r="E19" s="8"/>
      <c r="F19" s="30"/>
      <c r="G19" s="30"/>
      <c r="H19" s="31">
        <f t="shared" si="0"/>
        <v>0</v>
      </c>
      <c r="I19" s="30"/>
      <c r="J19" s="11"/>
      <c r="K19" s="31">
        <f t="shared" si="1"/>
        <v>0</v>
      </c>
      <c r="L19" s="30">
        <v>0</v>
      </c>
      <c r="M19" s="10"/>
      <c r="N19" s="31">
        <f t="shared" si="2"/>
        <v>0</v>
      </c>
      <c r="O19" s="34"/>
      <c r="P19" s="35"/>
      <c r="Q19" s="31">
        <f t="shared" si="3"/>
        <v>0</v>
      </c>
      <c r="R19" s="34"/>
      <c r="S19" s="35"/>
      <c r="T19" s="31">
        <f t="shared" si="4"/>
        <v>0</v>
      </c>
      <c r="U19" s="34"/>
      <c r="V19" s="35"/>
      <c r="W19" s="31">
        <f t="shared" si="5"/>
        <v>0</v>
      </c>
      <c r="X19" s="10"/>
      <c r="Y19" s="10"/>
      <c r="Z19" s="31">
        <f t="shared" si="6"/>
        <v>0</v>
      </c>
      <c r="AA19" s="10"/>
      <c r="AB19" s="10"/>
      <c r="AC19" s="31">
        <f t="shared" si="7"/>
        <v>0</v>
      </c>
      <c r="AD19" s="10"/>
      <c r="AE19" s="10"/>
      <c r="AF19" s="31">
        <f t="shared" si="8"/>
        <v>0</v>
      </c>
      <c r="AG19" s="10"/>
      <c r="AH19" s="10"/>
      <c r="AI19" s="31">
        <f t="shared" si="9"/>
        <v>0</v>
      </c>
      <c r="AJ19" s="10"/>
      <c r="AK19" s="10"/>
      <c r="AL19" s="31">
        <f t="shared" si="10"/>
        <v>0</v>
      </c>
      <c r="AM19" s="10"/>
      <c r="AN19" s="10"/>
      <c r="AO19" s="31">
        <f t="shared" si="11"/>
        <v>0</v>
      </c>
      <c r="AP19" s="13">
        <f t="shared" si="12"/>
        <v>0</v>
      </c>
      <c r="AQ19" s="13">
        <f t="shared" si="13"/>
        <v>0</v>
      </c>
      <c r="AR19" s="31">
        <f t="shared" si="14"/>
        <v>0</v>
      </c>
    </row>
    <row r="20" spans="2:44" ht="15.6" customHeight="1" x14ac:dyDescent="0.25">
      <c r="B20" s="15">
        <f t="shared" si="15"/>
        <v>16</v>
      </c>
      <c r="C20" s="7" t="s">
        <v>26</v>
      </c>
      <c r="D20" s="8">
        <v>3199</v>
      </c>
      <c r="E20" s="8"/>
      <c r="F20" s="30"/>
      <c r="G20" s="11"/>
      <c r="H20" s="31">
        <f t="shared" si="0"/>
        <v>0</v>
      </c>
      <c r="I20" s="30"/>
      <c r="J20" s="11"/>
      <c r="K20" s="31">
        <f t="shared" si="1"/>
        <v>0</v>
      </c>
      <c r="L20" s="30">
        <v>0</v>
      </c>
      <c r="M20" s="10"/>
      <c r="N20" s="31">
        <f t="shared" si="2"/>
        <v>0</v>
      </c>
      <c r="O20" s="34"/>
      <c r="P20" s="35"/>
      <c r="Q20" s="31">
        <f t="shared" si="3"/>
        <v>0</v>
      </c>
      <c r="R20" s="34"/>
      <c r="S20" s="35"/>
      <c r="T20" s="31">
        <f t="shared" si="4"/>
        <v>0</v>
      </c>
      <c r="U20" s="34"/>
      <c r="V20" s="35"/>
      <c r="W20" s="31">
        <f t="shared" si="5"/>
        <v>0</v>
      </c>
      <c r="X20" s="10"/>
      <c r="Y20" s="10"/>
      <c r="Z20" s="31">
        <f t="shared" si="6"/>
        <v>0</v>
      </c>
      <c r="AA20" s="10"/>
      <c r="AB20" s="10"/>
      <c r="AC20" s="31">
        <f t="shared" si="7"/>
        <v>0</v>
      </c>
      <c r="AD20" s="10"/>
      <c r="AE20" s="10"/>
      <c r="AF20" s="31">
        <f t="shared" si="8"/>
        <v>0</v>
      </c>
      <c r="AG20" s="10"/>
      <c r="AH20" s="10"/>
      <c r="AI20" s="31">
        <f t="shared" si="9"/>
        <v>0</v>
      </c>
      <c r="AJ20" s="10"/>
      <c r="AK20" s="10"/>
      <c r="AL20" s="31">
        <f t="shared" si="10"/>
        <v>0</v>
      </c>
      <c r="AM20" s="10"/>
      <c r="AN20" s="10"/>
      <c r="AO20" s="31">
        <f t="shared" si="11"/>
        <v>0</v>
      </c>
      <c r="AP20" s="13">
        <f t="shared" si="12"/>
        <v>0</v>
      </c>
      <c r="AQ20" s="13">
        <f t="shared" si="13"/>
        <v>0</v>
      </c>
      <c r="AR20" s="31">
        <f t="shared" si="14"/>
        <v>0</v>
      </c>
    </row>
    <row r="21" spans="2:44" ht="15.6" customHeight="1" x14ac:dyDescent="0.25">
      <c r="B21" s="15">
        <f t="shared" si="15"/>
        <v>17</v>
      </c>
      <c r="C21" s="7" t="s">
        <v>47</v>
      </c>
      <c r="D21" s="8"/>
      <c r="E21" s="8"/>
      <c r="F21" s="30"/>
      <c r="G21" s="11"/>
      <c r="H21" s="31">
        <f t="shared" si="0"/>
        <v>0</v>
      </c>
      <c r="I21" s="11"/>
      <c r="J21" s="11">
        <v>293</v>
      </c>
      <c r="K21" s="31">
        <f t="shared" si="1"/>
        <v>0</v>
      </c>
      <c r="L21" s="31">
        <v>0</v>
      </c>
      <c r="M21" s="10"/>
      <c r="N21" s="31">
        <f t="shared" si="2"/>
        <v>0</v>
      </c>
      <c r="O21" s="34"/>
      <c r="P21" s="35"/>
      <c r="Q21" s="31">
        <f t="shared" si="3"/>
        <v>0</v>
      </c>
      <c r="R21" s="34"/>
      <c r="S21" s="35"/>
      <c r="T21" s="31">
        <f t="shared" si="4"/>
        <v>0</v>
      </c>
      <c r="U21" s="34"/>
      <c r="V21" s="35"/>
      <c r="W21" s="31">
        <f t="shared" si="5"/>
        <v>0</v>
      </c>
      <c r="X21" s="10"/>
      <c r="Y21" s="10"/>
      <c r="Z21" s="31">
        <f t="shared" si="6"/>
        <v>0</v>
      </c>
      <c r="AA21" s="10"/>
      <c r="AB21" s="10"/>
      <c r="AC21" s="31">
        <f t="shared" si="7"/>
        <v>0</v>
      </c>
      <c r="AD21" s="10"/>
      <c r="AE21" s="10"/>
      <c r="AF21" s="31">
        <f t="shared" si="8"/>
        <v>0</v>
      </c>
      <c r="AG21" s="10"/>
      <c r="AH21" s="10"/>
      <c r="AI21" s="31">
        <f t="shared" si="9"/>
        <v>0</v>
      </c>
      <c r="AJ21" s="10"/>
      <c r="AK21" s="10"/>
      <c r="AL21" s="31">
        <f t="shared" si="10"/>
        <v>0</v>
      </c>
      <c r="AM21" s="10"/>
      <c r="AN21" s="10"/>
      <c r="AO21" s="31">
        <f t="shared" si="11"/>
        <v>0</v>
      </c>
      <c r="AP21" s="13">
        <f t="shared" si="12"/>
        <v>0</v>
      </c>
      <c r="AQ21" s="13">
        <f t="shared" si="13"/>
        <v>293</v>
      </c>
      <c r="AR21" s="31">
        <f t="shared" si="14"/>
        <v>0</v>
      </c>
    </row>
    <row r="22" spans="2:44" ht="15.6" customHeight="1" x14ac:dyDescent="0.25">
      <c r="B22" s="15">
        <f t="shared" si="15"/>
        <v>18</v>
      </c>
      <c r="C22" s="7" t="s">
        <v>27</v>
      </c>
      <c r="D22" s="8"/>
      <c r="E22" s="8"/>
      <c r="F22" s="30"/>
      <c r="G22" s="11">
        <v>486</v>
      </c>
      <c r="H22" s="31">
        <f t="shared" si="0"/>
        <v>0</v>
      </c>
      <c r="I22" s="11"/>
      <c r="J22" s="11">
        <v>8209</v>
      </c>
      <c r="K22" s="31">
        <f t="shared" si="1"/>
        <v>0</v>
      </c>
      <c r="L22" s="31">
        <v>0</v>
      </c>
      <c r="M22" s="10">
        <v>313</v>
      </c>
      <c r="N22" s="31">
        <f t="shared" si="2"/>
        <v>0</v>
      </c>
      <c r="O22" s="34"/>
      <c r="P22" s="35"/>
      <c r="Q22" s="31">
        <f t="shared" si="3"/>
        <v>0</v>
      </c>
      <c r="R22" s="34"/>
      <c r="S22" s="35">
        <v>5555</v>
      </c>
      <c r="T22" s="31">
        <f t="shared" si="4"/>
        <v>0</v>
      </c>
      <c r="U22" s="34"/>
      <c r="V22" s="35"/>
      <c r="W22" s="31">
        <f t="shared" si="5"/>
        <v>0</v>
      </c>
      <c r="X22" s="10"/>
      <c r="Y22" s="10"/>
      <c r="Z22" s="31">
        <f t="shared" si="6"/>
        <v>0</v>
      </c>
      <c r="AA22" s="10"/>
      <c r="AB22" s="10"/>
      <c r="AC22" s="31">
        <f t="shared" si="7"/>
        <v>0</v>
      </c>
      <c r="AD22" s="10"/>
      <c r="AE22" s="10"/>
      <c r="AF22" s="31">
        <f t="shared" si="8"/>
        <v>0</v>
      </c>
      <c r="AG22" s="10"/>
      <c r="AH22" s="10"/>
      <c r="AI22" s="31">
        <f t="shared" si="9"/>
        <v>0</v>
      </c>
      <c r="AJ22" s="10"/>
      <c r="AK22" s="10"/>
      <c r="AL22" s="31">
        <f t="shared" si="10"/>
        <v>0</v>
      </c>
      <c r="AM22" s="10"/>
      <c r="AN22" s="10"/>
      <c r="AO22" s="31">
        <f t="shared" si="11"/>
        <v>0</v>
      </c>
      <c r="AP22" s="13">
        <f t="shared" si="12"/>
        <v>0</v>
      </c>
      <c r="AQ22" s="13">
        <f t="shared" si="13"/>
        <v>14563</v>
      </c>
      <c r="AR22" s="31">
        <f t="shared" si="14"/>
        <v>0</v>
      </c>
    </row>
    <row r="23" spans="2:44" ht="15.6" customHeight="1" x14ac:dyDescent="0.25">
      <c r="B23" s="17"/>
      <c r="C23" s="18" t="s">
        <v>28</v>
      </c>
      <c r="D23" s="19">
        <f>SUM(D5:D20)</f>
        <v>639897</v>
      </c>
      <c r="E23" s="80">
        <f>SUM(E5:E22)</f>
        <v>0</v>
      </c>
      <c r="F23" s="20">
        <f t="shared" ref="F23:I23" si="16">SUM(F5:F21)</f>
        <v>39039</v>
      </c>
      <c r="G23" s="20">
        <f>SUM(G5:G21)</f>
        <v>39338</v>
      </c>
      <c r="H23" s="32">
        <f>G23/F23</f>
        <v>1.0076590076590077</v>
      </c>
      <c r="I23" s="20">
        <f t="shared" si="16"/>
        <v>32137</v>
      </c>
      <c r="J23" s="20">
        <f>SUM(J5:J21)</f>
        <v>33433.800000000003</v>
      </c>
      <c r="K23" s="32">
        <f>J23/I23</f>
        <v>1.0403522419640914</v>
      </c>
      <c r="L23" s="20">
        <f t="shared" ref="L23" si="17">SUM(L5:L21)</f>
        <v>37129.25</v>
      </c>
      <c r="M23" s="20">
        <f>SUM(M5:M21)</f>
        <v>39177.15</v>
      </c>
      <c r="N23" s="32">
        <f>M23/L23</f>
        <v>1.0551559754102224</v>
      </c>
      <c r="O23" s="20">
        <f t="shared" ref="O23" si="18">SUM(O5:O21)</f>
        <v>29314.5</v>
      </c>
      <c r="P23" s="20">
        <f>SUM(P5:P21)</f>
        <v>30835.5</v>
      </c>
      <c r="Q23" s="32">
        <f>P23/O23</f>
        <v>1.051885585631684</v>
      </c>
      <c r="R23" s="20">
        <f t="shared" ref="R23" si="19">SUM(R5:R21)</f>
        <v>28087.3</v>
      </c>
      <c r="S23" s="20">
        <f>SUM(S5:S21)</f>
        <v>28297.8</v>
      </c>
      <c r="T23" s="32">
        <f>S23/R23</f>
        <v>1.007494490392455</v>
      </c>
      <c r="U23" s="20">
        <f>SUM(U5:U21)</f>
        <v>0</v>
      </c>
      <c r="V23" s="20">
        <f>SUM(V5:V21)</f>
        <v>0</v>
      </c>
      <c r="W23" s="32" t="e">
        <f>V23/U23</f>
        <v>#DIV/0!</v>
      </c>
      <c r="X23" s="20">
        <f t="shared" ref="X23" si="20">SUM(X5:X21)</f>
        <v>0</v>
      </c>
      <c r="Y23" s="20">
        <f>SUM(Y5:Y21)</f>
        <v>0</v>
      </c>
      <c r="Z23" s="32" t="e">
        <f>Y23/X23</f>
        <v>#DIV/0!</v>
      </c>
      <c r="AA23" s="20">
        <f t="shared" ref="AA23" si="21">SUM(AA5:AA21)</f>
        <v>0</v>
      </c>
      <c r="AB23" s="20">
        <f>SUM(AB5:AB21)</f>
        <v>0</v>
      </c>
      <c r="AC23" s="32" t="e">
        <f>AB23/AA23</f>
        <v>#DIV/0!</v>
      </c>
      <c r="AD23" s="20">
        <f t="shared" ref="AD23" si="22">SUM(AD5:AD21)</f>
        <v>0</v>
      </c>
      <c r="AE23" s="20">
        <f>SUM(AE5:AE21)</f>
        <v>0</v>
      </c>
      <c r="AF23" s="32" t="e">
        <f>AE23/AD23</f>
        <v>#DIV/0!</v>
      </c>
      <c r="AG23" s="20">
        <f t="shared" ref="AG23" si="23">SUM(AG5:AG21)</f>
        <v>0</v>
      </c>
      <c r="AH23" s="20">
        <f>SUM(AH5:AH21)</f>
        <v>0</v>
      </c>
      <c r="AI23" s="32" t="e">
        <f>AH23/AG23</f>
        <v>#DIV/0!</v>
      </c>
      <c r="AJ23" s="20">
        <f t="shared" ref="AJ23" si="24">SUM(AJ5:AJ21)</f>
        <v>0</v>
      </c>
      <c r="AK23" s="20">
        <f>SUM(AK5:AK21)</f>
        <v>0</v>
      </c>
      <c r="AL23" s="32" t="e">
        <f>AK23/AJ23</f>
        <v>#DIV/0!</v>
      </c>
      <c r="AM23" s="20">
        <f t="shared" ref="AM23" si="25">SUM(AM5:AM21)</f>
        <v>0</v>
      </c>
      <c r="AN23" s="20">
        <f>SUM(AN5:AN21)</f>
        <v>0</v>
      </c>
      <c r="AO23" s="32" t="e">
        <f>AN23/AM23</f>
        <v>#DIV/0!</v>
      </c>
      <c r="AP23" s="20">
        <f>SUM(AP5:AP21)</f>
        <v>165707.04999999999</v>
      </c>
      <c r="AQ23" s="20">
        <f>SUM(AQ5:AQ21)</f>
        <v>171082.25</v>
      </c>
      <c r="AR23" s="32">
        <f>AQ23/AP23</f>
        <v>1.0324379680888653</v>
      </c>
    </row>
    <row r="24" spans="2:44" ht="15.6" customHeight="1" x14ac:dyDescent="0.25">
      <c r="B24" s="17"/>
      <c r="C24" s="21" t="s">
        <v>29</v>
      </c>
      <c r="D24" s="19"/>
      <c r="E24" s="80"/>
      <c r="F24" s="20">
        <f>SUM(F5:F22)</f>
        <v>39039</v>
      </c>
      <c r="G24" s="20">
        <f>SUM(G5:G22)</f>
        <v>39824</v>
      </c>
      <c r="H24" s="32">
        <f>G24/F24</f>
        <v>1.020108097031174</v>
      </c>
      <c r="I24" s="20">
        <f>SUM(I5:I22)</f>
        <v>32137</v>
      </c>
      <c r="J24" s="20">
        <f>SUM(J5:J22)</f>
        <v>41642.800000000003</v>
      </c>
      <c r="K24" s="32">
        <f>J24/I24</f>
        <v>1.2957898994927965</v>
      </c>
      <c r="L24" s="20">
        <f>SUM(L5:L22)</f>
        <v>37129.25</v>
      </c>
      <c r="M24" s="20">
        <f>SUM(M5:M22)</f>
        <v>39490.15</v>
      </c>
      <c r="N24" s="32">
        <f>M24/L24</f>
        <v>1.0635859867893911</v>
      </c>
      <c r="O24" s="20">
        <f>SUM(O5:O22)</f>
        <v>29314.5</v>
      </c>
      <c r="P24" s="20">
        <f>SUM(P5:P22)</f>
        <v>30835.5</v>
      </c>
      <c r="Q24" s="32">
        <f>P24/O24</f>
        <v>1.051885585631684</v>
      </c>
      <c r="R24" s="20">
        <f>SUM(R5:R22)</f>
        <v>28087.3</v>
      </c>
      <c r="S24" s="20">
        <f>SUM(S5:S22)</f>
        <v>33852.800000000003</v>
      </c>
      <c r="T24" s="32">
        <f>S24/R24</f>
        <v>1.2052707095377628</v>
      </c>
      <c r="U24" s="20">
        <f>SUM(U5:U22)</f>
        <v>0</v>
      </c>
      <c r="V24" s="20">
        <f>SUM(V5:V22)</f>
        <v>0</v>
      </c>
      <c r="W24" s="32" t="e">
        <f>V24/U24</f>
        <v>#DIV/0!</v>
      </c>
      <c r="X24" s="20">
        <f>SUM(X5:X22)</f>
        <v>0</v>
      </c>
      <c r="Y24" s="20">
        <f>SUM(Y5:Y22)</f>
        <v>0</v>
      </c>
      <c r="Z24" s="32" t="e">
        <f>Y24/X24</f>
        <v>#DIV/0!</v>
      </c>
      <c r="AA24" s="20">
        <f>SUM(AA5:AA22)</f>
        <v>0</v>
      </c>
      <c r="AB24" s="20">
        <f>SUM(AB5:AB22)</f>
        <v>0</v>
      </c>
      <c r="AC24" s="32" t="e">
        <f>AB24/AA24</f>
        <v>#DIV/0!</v>
      </c>
      <c r="AD24" s="20">
        <f>SUM(AD5:AD22)</f>
        <v>0</v>
      </c>
      <c r="AE24" s="20">
        <f>SUM(AE5:AE22)</f>
        <v>0</v>
      </c>
      <c r="AF24" s="32" t="e">
        <f>AE24/AD24</f>
        <v>#DIV/0!</v>
      </c>
      <c r="AG24" s="20">
        <f>SUM(AG5:AG22)</f>
        <v>0</v>
      </c>
      <c r="AH24" s="20">
        <f>SUM(AH5:AH22)</f>
        <v>0</v>
      </c>
      <c r="AI24" s="32" t="e">
        <f>AH24/AG24</f>
        <v>#DIV/0!</v>
      </c>
      <c r="AJ24" s="20">
        <f>SUM(AJ5:AJ22)</f>
        <v>0</v>
      </c>
      <c r="AK24" s="20">
        <f>SUM(AK5:AK22)</f>
        <v>0</v>
      </c>
      <c r="AL24" s="32" t="e">
        <f>AK24/AJ24</f>
        <v>#DIV/0!</v>
      </c>
      <c r="AM24" s="20">
        <f>SUM(AM5:AM22)</f>
        <v>0</v>
      </c>
      <c r="AN24" s="20">
        <f>SUM(AN5:AN22)</f>
        <v>0</v>
      </c>
      <c r="AO24" s="32" t="e">
        <f>AN24/AM24</f>
        <v>#DIV/0!</v>
      </c>
      <c r="AP24" s="20">
        <f>SUM(AP5:AP22)</f>
        <v>165707.04999999999</v>
      </c>
      <c r="AQ24" s="20">
        <f>SUM(AQ5:AQ22)</f>
        <v>185645.25</v>
      </c>
      <c r="AR24" s="32">
        <f>AQ24/AP24</f>
        <v>1.1203219778518778</v>
      </c>
    </row>
    <row r="25" spans="2:44" ht="14.45" customHeight="1" x14ac:dyDescent="0.25">
      <c r="B25" s="23"/>
      <c r="C25" s="7" t="s">
        <v>30</v>
      </c>
      <c r="D25" s="7"/>
      <c r="E25" s="7"/>
      <c r="F25" s="7">
        <v>13</v>
      </c>
      <c r="G25" s="7">
        <v>13</v>
      </c>
      <c r="H25" s="7"/>
      <c r="I25" s="7">
        <v>12</v>
      </c>
      <c r="J25" s="7">
        <v>12</v>
      </c>
      <c r="K25" s="7"/>
      <c r="L25" s="7">
        <v>13</v>
      </c>
      <c r="M25" s="7">
        <v>13</v>
      </c>
      <c r="N25" s="7"/>
      <c r="O25" s="7">
        <v>11</v>
      </c>
      <c r="P25" s="7">
        <v>11</v>
      </c>
      <c r="Q25" s="7"/>
      <c r="R25" s="7">
        <v>11</v>
      </c>
      <c r="S25" s="7">
        <v>11</v>
      </c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13">
        <f t="shared" ref="AP25:AQ25" si="26">F25+I25+L25+O25+R25+U25+X25+AA25+AD25+AG25+AJ25+AM25</f>
        <v>60</v>
      </c>
      <c r="AQ25" s="13">
        <f t="shared" si="26"/>
        <v>60</v>
      </c>
      <c r="AR25" s="7"/>
    </row>
    <row r="26" spans="2:44" ht="14.45" customHeight="1" x14ac:dyDescent="0.25">
      <c r="B26" s="23"/>
      <c r="C26" s="25" t="s">
        <v>63</v>
      </c>
      <c r="D26" s="7"/>
      <c r="E26" s="8"/>
      <c r="F26" s="8">
        <f t="shared" ref="F26:O26" si="27">F23/F25</f>
        <v>3003</v>
      </c>
      <c r="G26" s="8">
        <f>G24/G25</f>
        <v>3063.3846153846152</v>
      </c>
      <c r="H26" s="8"/>
      <c r="I26" s="8">
        <f t="shared" si="27"/>
        <v>2678.0833333333335</v>
      </c>
      <c r="J26" s="8">
        <f>J24/J25</f>
        <v>3470.2333333333336</v>
      </c>
      <c r="K26" s="8"/>
      <c r="L26" s="8">
        <f t="shared" si="27"/>
        <v>2856.0961538461538</v>
      </c>
      <c r="M26" s="8">
        <f>M24/M25</f>
        <v>3037.7038461538464</v>
      </c>
      <c r="N26" s="8"/>
      <c r="O26" s="8">
        <f t="shared" si="27"/>
        <v>2664.9545454545455</v>
      </c>
      <c r="P26" s="8">
        <f>P24/P25</f>
        <v>2803.2272727272725</v>
      </c>
      <c r="Q26" s="8"/>
      <c r="R26" s="8">
        <f t="shared" ref="R26" si="28">R23/R25</f>
        <v>2553.3909090909092</v>
      </c>
      <c r="S26" s="8">
        <f>S24/S25</f>
        <v>3077.5272727272732</v>
      </c>
      <c r="T26" s="8"/>
      <c r="U26" s="8" t="e">
        <f t="shared" ref="U26" si="29">U23/U25</f>
        <v>#DIV/0!</v>
      </c>
      <c r="V26" s="8" t="e">
        <f>V24/V25</f>
        <v>#DIV/0!</v>
      </c>
      <c r="W26" s="8"/>
      <c r="X26" s="8" t="e">
        <f t="shared" ref="X26" si="30">X23/X25</f>
        <v>#DIV/0!</v>
      </c>
      <c r="Y26" s="8" t="e">
        <f>Y24/Y25</f>
        <v>#DIV/0!</v>
      </c>
      <c r="Z26" s="8"/>
      <c r="AA26" s="8" t="e">
        <f t="shared" ref="AA26" si="31">AA23/AA25</f>
        <v>#DIV/0!</v>
      </c>
      <c r="AB26" s="8" t="e">
        <f>AB24/AB25</f>
        <v>#DIV/0!</v>
      </c>
      <c r="AC26" s="8"/>
      <c r="AD26" s="8" t="e">
        <f t="shared" ref="AD26" si="32">AD23/AD25</f>
        <v>#DIV/0!</v>
      </c>
      <c r="AE26" s="8" t="e">
        <f>AE24/AE25</f>
        <v>#DIV/0!</v>
      </c>
      <c r="AF26" s="8"/>
      <c r="AG26" s="8" t="e">
        <f t="shared" ref="AG26" si="33">AG23/AG25</f>
        <v>#DIV/0!</v>
      </c>
      <c r="AH26" s="8" t="e">
        <f>AH24/AH25</f>
        <v>#DIV/0!</v>
      </c>
      <c r="AI26" s="8"/>
      <c r="AJ26" s="8" t="e">
        <f t="shared" ref="AJ26" si="34">AJ23/AJ25</f>
        <v>#DIV/0!</v>
      </c>
      <c r="AK26" s="8" t="e">
        <f>AK24/AK25</f>
        <v>#DIV/0!</v>
      </c>
      <c r="AL26" s="8"/>
      <c r="AM26" s="8" t="e">
        <f t="shared" ref="AM26" si="35">AM23/AM25</f>
        <v>#DIV/0!</v>
      </c>
      <c r="AN26" s="8" t="e">
        <f>AN24/AN25</f>
        <v>#DIV/0!</v>
      </c>
      <c r="AO26" s="8"/>
      <c r="AP26" s="8">
        <f>AP24/AP25</f>
        <v>2761.7841666666664</v>
      </c>
      <c r="AQ26" s="8">
        <f>AQ24/AQ25</f>
        <v>3094.0875000000001</v>
      </c>
      <c r="AR26" s="23"/>
    </row>
    <row r="28" spans="2:44" ht="15" hidden="1" customHeight="1" x14ac:dyDescent="0.25"/>
    <row r="29" spans="2:44" ht="18.75" hidden="1" customHeight="1" x14ac:dyDescent="0.3">
      <c r="C29" s="1" t="s">
        <v>38</v>
      </c>
    </row>
    <row r="30" spans="2:44" ht="15" hidden="1" customHeight="1" x14ac:dyDescent="0.25">
      <c r="B30" s="93" t="s">
        <v>0</v>
      </c>
      <c r="C30" s="95" t="s">
        <v>1</v>
      </c>
      <c r="D30" s="4" t="s">
        <v>2</v>
      </c>
      <c r="E30" s="97" t="s">
        <v>32</v>
      </c>
      <c r="F30" s="99" t="s">
        <v>33</v>
      </c>
      <c r="G30" s="100"/>
      <c r="H30" s="101"/>
      <c r="I30" s="99" t="s">
        <v>36</v>
      </c>
      <c r="J30" s="100"/>
      <c r="K30" s="101"/>
      <c r="L30" s="99" t="s">
        <v>37</v>
      </c>
      <c r="M30" s="100"/>
      <c r="N30" s="101"/>
      <c r="O30" s="99" t="s">
        <v>40</v>
      </c>
      <c r="P30" s="100"/>
      <c r="Q30" s="101"/>
      <c r="R30" s="99" t="s">
        <v>46</v>
      </c>
      <c r="S30" s="100"/>
      <c r="T30" s="101"/>
      <c r="U30" s="99" t="s">
        <v>54</v>
      </c>
      <c r="V30" s="100"/>
      <c r="W30" s="101"/>
      <c r="X30" s="99" t="s">
        <v>57</v>
      </c>
      <c r="Y30" s="100"/>
      <c r="Z30" s="101"/>
      <c r="AA30" s="99" t="s">
        <v>57</v>
      </c>
      <c r="AB30" s="100"/>
      <c r="AC30" s="101"/>
      <c r="AD30" s="99" t="s">
        <v>57</v>
      </c>
      <c r="AE30" s="100"/>
      <c r="AF30" s="101"/>
      <c r="AG30" s="99" t="s">
        <v>57</v>
      </c>
      <c r="AH30" s="100"/>
      <c r="AI30" s="101"/>
      <c r="AJ30" s="47"/>
      <c r="AK30" s="47"/>
      <c r="AL30" s="47"/>
      <c r="AM30" s="47"/>
      <c r="AN30" s="47"/>
      <c r="AO30" s="47"/>
      <c r="AP30" s="102" t="s">
        <v>8</v>
      </c>
      <c r="AQ30" s="103"/>
      <c r="AR30" s="104"/>
    </row>
    <row r="31" spans="2:44" ht="15" hidden="1" customHeight="1" x14ac:dyDescent="0.25">
      <c r="B31" s="94"/>
      <c r="C31" s="96"/>
      <c r="D31" s="4"/>
      <c r="E31" s="98"/>
      <c r="F31" s="5" t="s">
        <v>34</v>
      </c>
      <c r="G31" s="5" t="s">
        <v>35</v>
      </c>
      <c r="H31" s="5" t="s">
        <v>9</v>
      </c>
      <c r="I31" s="5" t="s">
        <v>34</v>
      </c>
      <c r="J31" s="5" t="s">
        <v>35</v>
      </c>
      <c r="K31" s="5" t="s">
        <v>9</v>
      </c>
      <c r="L31" s="5" t="s">
        <v>34</v>
      </c>
      <c r="M31" s="5" t="s">
        <v>35</v>
      </c>
      <c r="N31" s="5" t="s">
        <v>9</v>
      </c>
      <c r="O31" s="5" t="s">
        <v>34</v>
      </c>
      <c r="P31" s="5" t="s">
        <v>35</v>
      </c>
      <c r="Q31" s="5" t="s">
        <v>9</v>
      </c>
      <c r="R31" s="5" t="s">
        <v>34</v>
      </c>
      <c r="S31" s="5" t="s">
        <v>35</v>
      </c>
      <c r="T31" s="5" t="s">
        <v>9</v>
      </c>
      <c r="U31" s="5" t="s">
        <v>34</v>
      </c>
      <c r="V31" s="5" t="s">
        <v>35</v>
      </c>
      <c r="W31" s="5" t="s">
        <v>9</v>
      </c>
      <c r="X31" s="5" t="s">
        <v>34</v>
      </c>
      <c r="Y31" s="5" t="s">
        <v>35</v>
      </c>
      <c r="Z31" s="5" t="s">
        <v>9</v>
      </c>
      <c r="AA31" s="5" t="s">
        <v>34</v>
      </c>
      <c r="AB31" s="5" t="s">
        <v>35</v>
      </c>
      <c r="AC31" s="5" t="s">
        <v>9</v>
      </c>
      <c r="AD31" s="5" t="s">
        <v>34</v>
      </c>
      <c r="AE31" s="5" t="s">
        <v>35</v>
      </c>
      <c r="AF31" s="5" t="s">
        <v>9</v>
      </c>
      <c r="AG31" s="5" t="s">
        <v>34</v>
      </c>
      <c r="AH31" s="5" t="s">
        <v>35</v>
      </c>
      <c r="AI31" s="5" t="s">
        <v>9</v>
      </c>
      <c r="AJ31" s="5"/>
      <c r="AK31" s="5"/>
      <c r="AL31" s="5"/>
      <c r="AM31" s="5"/>
      <c r="AN31" s="5"/>
      <c r="AO31" s="5"/>
      <c r="AP31" s="33" t="s">
        <v>34</v>
      </c>
      <c r="AQ31" s="33" t="s">
        <v>35</v>
      </c>
      <c r="AR31" s="33" t="s">
        <v>9</v>
      </c>
    </row>
    <row r="32" spans="2:44" ht="15" hidden="1" customHeight="1" x14ac:dyDescent="0.25">
      <c r="B32" s="6">
        <v>1</v>
      </c>
      <c r="C32" s="7" t="s">
        <v>11</v>
      </c>
      <c r="D32" s="8">
        <v>32580</v>
      </c>
      <c r="E32" s="8"/>
      <c r="F32" s="29">
        <v>3660</v>
      </c>
      <c r="G32" s="10">
        <v>3260</v>
      </c>
      <c r="H32" s="31">
        <f>IFERROR(G32/F32,0)</f>
        <v>0.89071038251366119</v>
      </c>
      <c r="I32" s="11">
        <v>3010</v>
      </c>
      <c r="J32" s="12">
        <v>3010</v>
      </c>
      <c r="K32" s="31">
        <f>IFERROR(J32/I32,0)</f>
        <v>1</v>
      </c>
      <c r="L32" s="10">
        <v>4325</v>
      </c>
      <c r="M32" s="10">
        <v>4160</v>
      </c>
      <c r="N32" s="31">
        <f>IFERROR(M32/L32,0)</f>
        <v>0.96184971098265892</v>
      </c>
      <c r="O32" s="9">
        <v>2185</v>
      </c>
      <c r="P32" s="10">
        <v>2185</v>
      </c>
      <c r="Q32" s="31">
        <f>IFERROR(P32/O32,0)</f>
        <v>1</v>
      </c>
      <c r="R32" s="34">
        <v>1820</v>
      </c>
      <c r="S32" s="31"/>
      <c r="T32" s="31">
        <f>IFERROR(S32/R32,0)</f>
        <v>0</v>
      </c>
      <c r="U32" s="34"/>
      <c r="V32" s="31"/>
      <c r="W32" s="31">
        <f>IFERROR(V32/U32,0)</f>
        <v>0</v>
      </c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13">
        <f t="shared" ref="AP32:AP49" si="36">F32+I32+L32+O32+R32+U32+X32</f>
        <v>15000</v>
      </c>
      <c r="AQ32" s="13">
        <f t="shared" ref="AQ32:AQ49" si="37">G32+J32+M32+P32+S32+V32+Y32</f>
        <v>12615</v>
      </c>
      <c r="AR32" s="31">
        <f>IFERROR(AQ32/AP32,0)</f>
        <v>0.84099999999999997</v>
      </c>
    </row>
    <row r="33" spans="2:44" ht="15" hidden="1" customHeight="1" x14ac:dyDescent="0.25">
      <c r="B33" s="6">
        <f>B32+1</f>
        <v>2</v>
      </c>
      <c r="C33" s="7" t="s">
        <v>12</v>
      </c>
      <c r="D33" s="8">
        <v>24192</v>
      </c>
      <c r="E33" s="14"/>
      <c r="F33" s="29">
        <v>1904</v>
      </c>
      <c r="G33" s="10">
        <f>1974-70</f>
        <v>1904</v>
      </c>
      <c r="H33" s="31">
        <f t="shared" ref="H33:H49" si="38">IFERROR(G33/F33,0)</f>
        <v>1</v>
      </c>
      <c r="I33" s="11">
        <v>1738</v>
      </c>
      <c r="J33" s="12">
        <v>1468</v>
      </c>
      <c r="K33" s="31">
        <f t="shared" ref="K33:K49" si="39">IFERROR(J33/I33,0)</f>
        <v>0.84464902186421176</v>
      </c>
      <c r="L33" s="10">
        <v>2364</v>
      </c>
      <c r="M33" s="10">
        <v>2133</v>
      </c>
      <c r="N33" s="31">
        <f t="shared" ref="N33:N49" si="40">IFERROR(M33/L33,0)</f>
        <v>0.90228426395939088</v>
      </c>
      <c r="O33" s="9">
        <v>2234</v>
      </c>
      <c r="P33" s="10">
        <v>2234</v>
      </c>
      <c r="Q33" s="31">
        <f t="shared" ref="Q33:Q49" si="41">IFERROR(P33/O33,0)</f>
        <v>1</v>
      </c>
      <c r="R33" s="34">
        <v>3569</v>
      </c>
      <c r="S33" s="31"/>
      <c r="T33" s="31">
        <f t="shared" ref="T33:T49" si="42">IFERROR(S33/R33,0)</f>
        <v>0</v>
      </c>
      <c r="U33" s="34"/>
      <c r="V33" s="31"/>
      <c r="W33" s="31">
        <f t="shared" ref="W33:W49" si="43">IFERROR(V33/U33,0)</f>
        <v>0</v>
      </c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13">
        <f t="shared" si="36"/>
        <v>11809</v>
      </c>
      <c r="AQ33" s="13">
        <f t="shared" si="37"/>
        <v>7739</v>
      </c>
      <c r="AR33" s="31">
        <f t="shared" ref="AR33:AR49" si="44">IFERROR(AQ33/AP33,0)</f>
        <v>0.65534761622491322</v>
      </c>
    </row>
    <row r="34" spans="2:44" ht="15" hidden="1" customHeight="1" x14ac:dyDescent="0.25">
      <c r="B34" s="6">
        <f t="shared" ref="B34:B47" si="45">B33+1</f>
        <v>3</v>
      </c>
      <c r="C34" s="7" t="s">
        <v>13</v>
      </c>
      <c r="D34" s="8">
        <v>81041</v>
      </c>
      <c r="E34" s="14"/>
      <c r="F34" s="29">
        <v>4386</v>
      </c>
      <c r="G34" s="10">
        <f>5904-1518</f>
        <v>4386</v>
      </c>
      <c r="H34" s="31">
        <f t="shared" si="38"/>
        <v>1</v>
      </c>
      <c r="I34" s="11">
        <v>5115</v>
      </c>
      <c r="J34" s="12">
        <v>4869</v>
      </c>
      <c r="K34" s="31">
        <f t="shared" si="39"/>
        <v>0.95190615835777126</v>
      </c>
      <c r="L34" s="10">
        <v>3806</v>
      </c>
      <c r="M34" s="10">
        <v>3057</v>
      </c>
      <c r="N34" s="31">
        <f t="shared" si="40"/>
        <v>0.80320546505517609</v>
      </c>
      <c r="O34" s="9">
        <v>2599</v>
      </c>
      <c r="P34" s="10">
        <v>2332</v>
      </c>
      <c r="Q34" s="31">
        <f t="shared" si="41"/>
        <v>0.89726818006925746</v>
      </c>
      <c r="R34" s="34">
        <v>2647</v>
      </c>
      <c r="S34" s="31"/>
      <c r="T34" s="31">
        <f t="shared" si="42"/>
        <v>0</v>
      </c>
      <c r="U34" s="34"/>
      <c r="V34" s="31"/>
      <c r="W34" s="31">
        <f t="shared" si="43"/>
        <v>0</v>
      </c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13">
        <f t="shared" si="36"/>
        <v>18553</v>
      </c>
      <c r="AQ34" s="13">
        <f t="shared" si="37"/>
        <v>14644</v>
      </c>
      <c r="AR34" s="31">
        <f t="shared" si="44"/>
        <v>0.78930631164771192</v>
      </c>
    </row>
    <row r="35" spans="2:44" ht="15" hidden="1" customHeight="1" x14ac:dyDescent="0.25">
      <c r="B35" s="15">
        <f t="shared" si="45"/>
        <v>4</v>
      </c>
      <c r="C35" s="7" t="s">
        <v>14</v>
      </c>
      <c r="D35" s="8">
        <v>86039</v>
      </c>
      <c r="E35" s="14"/>
      <c r="F35" s="30">
        <v>3926</v>
      </c>
      <c r="G35" s="10">
        <f>3958-32</f>
        <v>3926</v>
      </c>
      <c r="H35" s="31">
        <f t="shared" si="38"/>
        <v>1</v>
      </c>
      <c r="I35" s="11">
        <v>1934</v>
      </c>
      <c r="J35" s="12">
        <v>1934</v>
      </c>
      <c r="K35" s="31">
        <f t="shared" si="39"/>
        <v>1</v>
      </c>
      <c r="L35" s="10">
        <v>2638</v>
      </c>
      <c r="M35" s="10">
        <v>2242</v>
      </c>
      <c r="N35" s="31">
        <f t="shared" si="40"/>
        <v>0.84988627748294165</v>
      </c>
      <c r="O35" s="8">
        <v>1768</v>
      </c>
      <c r="P35" s="10">
        <v>1705</v>
      </c>
      <c r="Q35" s="31">
        <f t="shared" si="41"/>
        <v>0.96436651583710409</v>
      </c>
      <c r="R35" s="34">
        <v>2022</v>
      </c>
      <c r="S35" s="31"/>
      <c r="T35" s="31">
        <f t="shared" si="42"/>
        <v>0</v>
      </c>
      <c r="U35" s="34"/>
      <c r="V35" s="31"/>
      <c r="W35" s="31">
        <f t="shared" si="43"/>
        <v>0</v>
      </c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13">
        <f t="shared" si="36"/>
        <v>12288</v>
      </c>
      <c r="AQ35" s="13">
        <f t="shared" si="37"/>
        <v>9807</v>
      </c>
      <c r="AR35" s="31">
        <f t="shared" si="44"/>
        <v>0.798095703125</v>
      </c>
    </row>
    <row r="36" spans="2:44" ht="15" hidden="1" customHeight="1" x14ac:dyDescent="0.25">
      <c r="B36" s="15">
        <f t="shared" si="45"/>
        <v>5</v>
      </c>
      <c r="C36" s="7" t="s">
        <v>15</v>
      </c>
      <c r="D36" s="8">
        <v>51544</v>
      </c>
      <c r="E36" s="14"/>
      <c r="F36" s="30">
        <v>1810</v>
      </c>
      <c r="G36" s="10">
        <f>1496-32</f>
        <v>1464</v>
      </c>
      <c r="H36" s="31">
        <f t="shared" si="38"/>
        <v>0.80883977900552484</v>
      </c>
      <c r="I36" s="11">
        <v>1288</v>
      </c>
      <c r="J36" s="12">
        <f>1239-28</f>
        <v>1211</v>
      </c>
      <c r="K36" s="31">
        <f t="shared" si="39"/>
        <v>0.94021739130434778</v>
      </c>
      <c r="L36" s="10">
        <v>500</v>
      </c>
      <c r="M36" s="10">
        <v>258</v>
      </c>
      <c r="N36" s="31">
        <f t="shared" si="40"/>
        <v>0.51600000000000001</v>
      </c>
      <c r="O36" s="8">
        <v>446</v>
      </c>
      <c r="P36" s="10">
        <v>446</v>
      </c>
      <c r="Q36" s="31">
        <f t="shared" si="41"/>
        <v>1</v>
      </c>
      <c r="R36" s="34">
        <v>502</v>
      </c>
      <c r="S36" s="31"/>
      <c r="T36" s="31">
        <f t="shared" si="42"/>
        <v>0</v>
      </c>
      <c r="U36" s="34"/>
      <c r="V36" s="31"/>
      <c r="W36" s="31">
        <f t="shared" si="43"/>
        <v>0</v>
      </c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13">
        <f t="shared" si="36"/>
        <v>4546</v>
      </c>
      <c r="AQ36" s="13">
        <f t="shared" si="37"/>
        <v>3379</v>
      </c>
      <c r="AR36" s="31">
        <f t="shared" si="44"/>
        <v>0.74329080510338763</v>
      </c>
    </row>
    <row r="37" spans="2:44" ht="15" hidden="1" customHeight="1" x14ac:dyDescent="0.25">
      <c r="B37" s="15">
        <f t="shared" si="45"/>
        <v>6</v>
      </c>
      <c r="C37" s="7" t="s">
        <v>16</v>
      </c>
      <c r="D37" s="8">
        <v>101433</v>
      </c>
      <c r="E37" s="14"/>
      <c r="F37" s="30">
        <v>20786</v>
      </c>
      <c r="G37" s="10">
        <f>19397-732</f>
        <v>18665</v>
      </c>
      <c r="H37" s="31">
        <f t="shared" si="38"/>
        <v>0.89796016549600688</v>
      </c>
      <c r="I37" s="11">
        <v>16999</v>
      </c>
      <c r="J37" s="12">
        <v>15759</v>
      </c>
      <c r="K37" s="31">
        <f t="shared" si="39"/>
        <v>0.92705453261956583</v>
      </c>
      <c r="L37" s="10">
        <v>7559</v>
      </c>
      <c r="M37" s="10">
        <v>7559</v>
      </c>
      <c r="N37" s="31">
        <f t="shared" si="40"/>
        <v>1</v>
      </c>
      <c r="O37" s="8">
        <v>8018</v>
      </c>
      <c r="P37" s="10">
        <v>8018</v>
      </c>
      <c r="Q37" s="31">
        <f t="shared" si="41"/>
        <v>1</v>
      </c>
      <c r="R37" s="34">
        <v>4527</v>
      </c>
      <c r="S37" s="31"/>
      <c r="T37" s="31">
        <f t="shared" si="42"/>
        <v>0</v>
      </c>
      <c r="U37" s="34"/>
      <c r="V37" s="31"/>
      <c r="W37" s="31">
        <f t="shared" si="43"/>
        <v>0</v>
      </c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13">
        <f t="shared" si="36"/>
        <v>57889</v>
      </c>
      <c r="AQ37" s="13">
        <f t="shared" si="37"/>
        <v>50001</v>
      </c>
      <c r="AR37" s="31">
        <f t="shared" si="44"/>
        <v>0.86373922506866585</v>
      </c>
    </row>
    <row r="38" spans="2:44" ht="15" hidden="1" customHeight="1" x14ac:dyDescent="0.25">
      <c r="B38" s="15">
        <f t="shared" si="45"/>
        <v>7</v>
      </c>
      <c r="C38" s="7" t="s">
        <v>17</v>
      </c>
      <c r="D38" s="8">
        <v>39686</v>
      </c>
      <c r="E38" s="14"/>
      <c r="F38" s="30">
        <v>4223</v>
      </c>
      <c r="G38" s="10">
        <f>3885</f>
        <v>3885</v>
      </c>
      <c r="H38" s="31">
        <f t="shared" si="38"/>
        <v>0.9199621122424817</v>
      </c>
      <c r="I38" s="11">
        <v>4044</v>
      </c>
      <c r="J38" s="12">
        <f>3023</f>
        <v>3023</v>
      </c>
      <c r="K38" s="31">
        <f t="shared" si="39"/>
        <v>0.74752720079129575</v>
      </c>
      <c r="L38" s="10">
        <v>5027</v>
      </c>
      <c r="M38" s="10">
        <v>3892</v>
      </c>
      <c r="N38" s="31">
        <f t="shared" si="40"/>
        <v>0.77421921623234535</v>
      </c>
      <c r="O38" s="8">
        <v>2628</v>
      </c>
      <c r="P38" s="10">
        <v>2206</v>
      </c>
      <c r="Q38" s="31">
        <f t="shared" si="41"/>
        <v>0.83942161339421617</v>
      </c>
      <c r="R38" s="34">
        <v>3123</v>
      </c>
      <c r="S38" s="31"/>
      <c r="T38" s="31">
        <f t="shared" si="42"/>
        <v>0</v>
      </c>
      <c r="U38" s="34"/>
      <c r="V38" s="31"/>
      <c r="W38" s="31">
        <f t="shared" si="43"/>
        <v>0</v>
      </c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13">
        <f t="shared" si="36"/>
        <v>19045</v>
      </c>
      <c r="AQ38" s="13">
        <f t="shared" si="37"/>
        <v>13006</v>
      </c>
      <c r="AR38" s="31">
        <f t="shared" si="44"/>
        <v>0.68290889997374637</v>
      </c>
    </row>
    <row r="39" spans="2:44" ht="15" hidden="1" customHeight="1" x14ac:dyDescent="0.25">
      <c r="B39" s="15">
        <f t="shared" si="45"/>
        <v>8</v>
      </c>
      <c r="C39" s="7" t="s">
        <v>18</v>
      </c>
      <c r="D39" s="8"/>
      <c r="E39" s="14"/>
      <c r="F39" s="30">
        <v>138</v>
      </c>
      <c r="G39" s="10">
        <v>78</v>
      </c>
      <c r="H39" s="31">
        <f t="shared" si="38"/>
        <v>0.56521739130434778</v>
      </c>
      <c r="I39" s="11">
        <v>375</v>
      </c>
      <c r="J39" s="12">
        <v>367</v>
      </c>
      <c r="K39" s="31">
        <f t="shared" si="39"/>
        <v>0.97866666666666668</v>
      </c>
      <c r="L39" s="10">
        <v>178</v>
      </c>
      <c r="M39" s="10">
        <v>128</v>
      </c>
      <c r="N39" s="31">
        <f t="shared" si="40"/>
        <v>0.7191011235955056</v>
      </c>
      <c r="O39" s="8">
        <v>85</v>
      </c>
      <c r="P39" s="10">
        <v>0</v>
      </c>
      <c r="Q39" s="31">
        <f t="shared" si="41"/>
        <v>0</v>
      </c>
      <c r="R39" s="34">
        <v>265</v>
      </c>
      <c r="S39" s="31"/>
      <c r="T39" s="31">
        <f t="shared" si="42"/>
        <v>0</v>
      </c>
      <c r="U39" s="34"/>
      <c r="V39" s="31"/>
      <c r="W39" s="31">
        <f t="shared" si="43"/>
        <v>0</v>
      </c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13">
        <f t="shared" si="36"/>
        <v>1041</v>
      </c>
      <c r="AQ39" s="13">
        <f t="shared" si="37"/>
        <v>573</v>
      </c>
      <c r="AR39" s="31">
        <f t="shared" si="44"/>
        <v>0.55043227665706052</v>
      </c>
    </row>
    <row r="40" spans="2:44" ht="15" hidden="1" customHeight="1" x14ac:dyDescent="0.25">
      <c r="B40" s="15">
        <f t="shared" si="45"/>
        <v>9</v>
      </c>
      <c r="C40" s="7" t="s">
        <v>19</v>
      </c>
      <c r="D40" s="8"/>
      <c r="E40" s="14"/>
      <c r="F40" s="30">
        <v>68</v>
      </c>
      <c r="G40" s="10">
        <v>68</v>
      </c>
      <c r="H40" s="31">
        <f t="shared" si="38"/>
        <v>1</v>
      </c>
      <c r="I40" s="11">
        <v>209</v>
      </c>
      <c r="J40" s="12">
        <v>21</v>
      </c>
      <c r="K40" s="31">
        <f t="shared" si="39"/>
        <v>0.10047846889952153</v>
      </c>
      <c r="L40" s="10">
        <v>188</v>
      </c>
      <c r="M40" s="10">
        <v>188</v>
      </c>
      <c r="N40" s="31">
        <f t="shared" si="40"/>
        <v>1</v>
      </c>
      <c r="O40" s="8">
        <v>0</v>
      </c>
      <c r="P40" s="10">
        <v>0</v>
      </c>
      <c r="Q40" s="31">
        <f t="shared" si="41"/>
        <v>0</v>
      </c>
      <c r="R40" s="34"/>
      <c r="S40" s="31"/>
      <c r="T40" s="31">
        <f t="shared" si="42"/>
        <v>0</v>
      </c>
      <c r="U40" s="34"/>
      <c r="V40" s="31"/>
      <c r="W40" s="31">
        <f t="shared" si="43"/>
        <v>0</v>
      </c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13">
        <f t="shared" si="36"/>
        <v>465</v>
      </c>
      <c r="AQ40" s="13">
        <f t="shared" si="37"/>
        <v>277</v>
      </c>
      <c r="AR40" s="31">
        <f t="shared" si="44"/>
        <v>0.5956989247311828</v>
      </c>
    </row>
    <row r="41" spans="2:44" ht="15" hidden="1" customHeight="1" x14ac:dyDescent="0.25">
      <c r="B41" s="15">
        <f t="shared" si="45"/>
        <v>10</v>
      </c>
      <c r="C41" s="7" t="s">
        <v>20</v>
      </c>
      <c r="D41" s="8">
        <v>182592</v>
      </c>
      <c r="E41" s="14"/>
      <c r="F41" s="30">
        <v>4286</v>
      </c>
      <c r="G41" s="10">
        <f>4936-650</f>
        <v>4286</v>
      </c>
      <c r="H41" s="31">
        <f t="shared" si="38"/>
        <v>1</v>
      </c>
      <c r="I41" s="11">
        <v>8242</v>
      </c>
      <c r="J41" s="12">
        <f>8386-524</f>
        <v>7862</v>
      </c>
      <c r="K41" s="31">
        <f t="shared" si="39"/>
        <v>0.95389468575588454</v>
      </c>
      <c r="L41" s="10">
        <v>7855</v>
      </c>
      <c r="M41" s="10">
        <v>7568</v>
      </c>
      <c r="N41" s="31">
        <f t="shared" si="40"/>
        <v>0.96346276257161045</v>
      </c>
      <c r="O41" s="8">
        <v>3221</v>
      </c>
      <c r="P41" s="10">
        <v>3221</v>
      </c>
      <c r="Q41" s="31">
        <f t="shared" si="41"/>
        <v>1</v>
      </c>
      <c r="R41" s="34">
        <v>3194</v>
      </c>
      <c r="S41" s="31"/>
      <c r="T41" s="31">
        <f t="shared" si="42"/>
        <v>0</v>
      </c>
      <c r="U41" s="34"/>
      <c r="V41" s="31"/>
      <c r="W41" s="31">
        <f t="shared" si="43"/>
        <v>0</v>
      </c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13">
        <f t="shared" si="36"/>
        <v>26798</v>
      </c>
      <c r="AQ41" s="13">
        <f t="shared" si="37"/>
        <v>22937</v>
      </c>
      <c r="AR41" s="31">
        <f t="shared" si="44"/>
        <v>0.85592208373759238</v>
      </c>
    </row>
    <row r="42" spans="2:44" ht="15" hidden="1" customHeight="1" x14ac:dyDescent="0.25">
      <c r="B42" s="15">
        <f t="shared" si="45"/>
        <v>11</v>
      </c>
      <c r="C42" s="7" t="s">
        <v>21</v>
      </c>
      <c r="D42" s="8">
        <v>22500</v>
      </c>
      <c r="E42" s="8"/>
      <c r="F42" s="30">
        <v>1859</v>
      </c>
      <c r="G42" s="10">
        <f>1652-1</f>
        <v>1651</v>
      </c>
      <c r="H42" s="31">
        <f t="shared" si="38"/>
        <v>0.88811188811188813</v>
      </c>
      <c r="I42" s="11">
        <v>1707</v>
      </c>
      <c r="J42" s="12">
        <f>1510-79</f>
        <v>1431</v>
      </c>
      <c r="K42" s="31">
        <f t="shared" si="39"/>
        <v>0.83831282952548325</v>
      </c>
      <c r="L42" s="10">
        <v>2505</v>
      </c>
      <c r="M42" s="10">
        <v>2247</v>
      </c>
      <c r="N42" s="31">
        <f t="shared" si="40"/>
        <v>0.89700598802395215</v>
      </c>
      <c r="O42" s="8">
        <v>2236</v>
      </c>
      <c r="P42" s="10">
        <v>1575</v>
      </c>
      <c r="Q42" s="31">
        <f t="shared" si="41"/>
        <v>0.70438282647584971</v>
      </c>
      <c r="R42" s="34">
        <v>1901</v>
      </c>
      <c r="S42" s="31"/>
      <c r="T42" s="31">
        <f t="shared" si="42"/>
        <v>0</v>
      </c>
      <c r="U42" s="34"/>
      <c r="V42" s="31"/>
      <c r="W42" s="31">
        <f t="shared" si="43"/>
        <v>0</v>
      </c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13">
        <f t="shared" si="36"/>
        <v>10208</v>
      </c>
      <c r="AQ42" s="13">
        <f t="shared" si="37"/>
        <v>6904</v>
      </c>
      <c r="AR42" s="31">
        <f t="shared" si="44"/>
        <v>0.67633228840125392</v>
      </c>
    </row>
    <row r="43" spans="2:44" ht="15" hidden="1" customHeight="1" x14ac:dyDescent="0.25">
      <c r="B43" s="15">
        <f t="shared" si="45"/>
        <v>12</v>
      </c>
      <c r="C43" s="7" t="s">
        <v>22</v>
      </c>
      <c r="D43" s="8">
        <v>5751</v>
      </c>
      <c r="E43" s="8"/>
      <c r="F43" s="30">
        <v>842</v>
      </c>
      <c r="G43" s="10">
        <v>602</v>
      </c>
      <c r="H43" s="31">
        <f t="shared" si="38"/>
        <v>0.71496437054631834</v>
      </c>
      <c r="I43" s="11"/>
      <c r="J43" s="12"/>
      <c r="K43" s="31">
        <f t="shared" si="39"/>
        <v>0</v>
      </c>
      <c r="L43" s="10">
        <v>747</v>
      </c>
      <c r="M43" s="10">
        <v>668</v>
      </c>
      <c r="N43" s="31">
        <f t="shared" si="40"/>
        <v>0.89424364123159306</v>
      </c>
      <c r="O43" s="8">
        <v>854</v>
      </c>
      <c r="P43" s="10">
        <v>702</v>
      </c>
      <c r="Q43" s="31">
        <f t="shared" si="41"/>
        <v>0.82201405152224827</v>
      </c>
      <c r="R43" s="34">
        <v>1436</v>
      </c>
      <c r="S43" s="31"/>
      <c r="T43" s="31">
        <f t="shared" si="42"/>
        <v>0</v>
      </c>
      <c r="U43" s="34"/>
      <c r="V43" s="31"/>
      <c r="W43" s="31">
        <f t="shared" si="43"/>
        <v>0</v>
      </c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13">
        <f t="shared" si="36"/>
        <v>3879</v>
      </c>
      <c r="AQ43" s="13">
        <f t="shared" si="37"/>
        <v>1972</v>
      </c>
      <c r="AR43" s="31">
        <f t="shared" si="44"/>
        <v>0.50837844805362209</v>
      </c>
    </row>
    <row r="44" spans="2:44" ht="15" hidden="1" customHeight="1" x14ac:dyDescent="0.25">
      <c r="B44" s="15">
        <f t="shared" si="45"/>
        <v>13</v>
      </c>
      <c r="C44" s="7" t="s">
        <v>23</v>
      </c>
      <c r="D44" s="8">
        <v>1266</v>
      </c>
      <c r="E44" s="8"/>
      <c r="F44" s="30">
        <v>208</v>
      </c>
      <c r="G44" s="10">
        <v>160</v>
      </c>
      <c r="H44" s="31">
        <f t="shared" si="38"/>
        <v>0.76923076923076927</v>
      </c>
      <c r="I44" s="11">
        <v>32</v>
      </c>
      <c r="J44" s="12">
        <v>12</v>
      </c>
      <c r="K44" s="31">
        <f t="shared" si="39"/>
        <v>0.375</v>
      </c>
      <c r="L44" s="10">
        <v>322</v>
      </c>
      <c r="M44" s="10">
        <v>322</v>
      </c>
      <c r="N44" s="31">
        <f t="shared" si="40"/>
        <v>1</v>
      </c>
      <c r="O44" s="8">
        <v>732</v>
      </c>
      <c r="P44" s="10">
        <v>98</v>
      </c>
      <c r="Q44" s="31">
        <f t="shared" si="41"/>
        <v>0.13387978142076504</v>
      </c>
      <c r="R44" s="34">
        <v>634</v>
      </c>
      <c r="S44" s="31"/>
      <c r="T44" s="31">
        <f t="shared" si="42"/>
        <v>0</v>
      </c>
      <c r="U44" s="34"/>
      <c r="V44" s="31"/>
      <c r="W44" s="31">
        <f t="shared" si="43"/>
        <v>0</v>
      </c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13">
        <f t="shared" si="36"/>
        <v>1928</v>
      </c>
      <c r="AQ44" s="13">
        <f t="shared" si="37"/>
        <v>592</v>
      </c>
      <c r="AR44" s="31">
        <f t="shared" si="44"/>
        <v>0.30705394190871371</v>
      </c>
    </row>
    <row r="45" spans="2:44" ht="15" hidden="1" customHeight="1" x14ac:dyDescent="0.25">
      <c r="B45" s="15">
        <f t="shared" si="45"/>
        <v>14</v>
      </c>
      <c r="C45" s="7" t="s">
        <v>24</v>
      </c>
      <c r="D45" s="8">
        <v>3640</v>
      </c>
      <c r="E45" s="8"/>
      <c r="F45" s="30">
        <v>1505</v>
      </c>
      <c r="G45" s="10">
        <v>975</v>
      </c>
      <c r="H45" s="31">
        <f t="shared" si="38"/>
        <v>0.64784053156146182</v>
      </c>
      <c r="I45" s="11">
        <v>658</v>
      </c>
      <c r="J45" s="12">
        <f>739-135</f>
        <v>604</v>
      </c>
      <c r="K45" s="31">
        <f t="shared" si="39"/>
        <v>0.91793313069908811</v>
      </c>
      <c r="L45" s="10">
        <v>54</v>
      </c>
      <c r="M45" s="10">
        <v>53</v>
      </c>
      <c r="N45" s="31">
        <f t="shared" si="40"/>
        <v>0.98148148148148151</v>
      </c>
      <c r="O45" s="8">
        <v>1190</v>
      </c>
      <c r="P45" s="10">
        <v>1190</v>
      </c>
      <c r="Q45" s="31">
        <f t="shared" si="41"/>
        <v>1</v>
      </c>
      <c r="R45" s="34">
        <v>533</v>
      </c>
      <c r="S45" s="31"/>
      <c r="T45" s="31">
        <f t="shared" si="42"/>
        <v>0</v>
      </c>
      <c r="U45" s="34"/>
      <c r="V45" s="31"/>
      <c r="W45" s="31">
        <f t="shared" si="43"/>
        <v>0</v>
      </c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13">
        <f t="shared" si="36"/>
        <v>3940</v>
      </c>
      <c r="AQ45" s="13">
        <f t="shared" si="37"/>
        <v>2822</v>
      </c>
      <c r="AR45" s="31">
        <f t="shared" si="44"/>
        <v>0.71624365482233499</v>
      </c>
    </row>
    <row r="46" spans="2:44" ht="15" hidden="1" customHeight="1" x14ac:dyDescent="0.25">
      <c r="B46" s="15">
        <f t="shared" si="45"/>
        <v>15</v>
      </c>
      <c r="C46" s="7" t="s">
        <v>25</v>
      </c>
      <c r="D46" s="8">
        <v>4434</v>
      </c>
      <c r="E46" s="8"/>
      <c r="F46" s="30"/>
      <c r="G46" s="16"/>
      <c r="H46" s="31">
        <f t="shared" si="38"/>
        <v>0</v>
      </c>
      <c r="I46" s="11"/>
      <c r="J46" s="11">
        <v>0</v>
      </c>
      <c r="K46" s="31">
        <f t="shared" si="39"/>
        <v>0</v>
      </c>
      <c r="L46" s="31"/>
      <c r="M46" s="10"/>
      <c r="N46" s="31">
        <f t="shared" si="40"/>
        <v>0</v>
      </c>
      <c r="O46" s="8">
        <v>0</v>
      </c>
      <c r="P46" s="16"/>
      <c r="Q46" s="31">
        <f t="shared" si="41"/>
        <v>0</v>
      </c>
      <c r="R46" s="34">
        <v>0</v>
      </c>
      <c r="S46" s="31"/>
      <c r="T46" s="31">
        <f t="shared" si="42"/>
        <v>0</v>
      </c>
      <c r="U46" s="34"/>
      <c r="V46" s="31"/>
      <c r="W46" s="31">
        <f t="shared" si="43"/>
        <v>0</v>
      </c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13">
        <f t="shared" si="36"/>
        <v>0</v>
      </c>
      <c r="AQ46" s="13">
        <f t="shared" si="37"/>
        <v>0</v>
      </c>
      <c r="AR46" s="31">
        <f t="shared" si="44"/>
        <v>0</v>
      </c>
    </row>
    <row r="47" spans="2:44" ht="15" hidden="1" customHeight="1" x14ac:dyDescent="0.25">
      <c r="B47" s="15">
        <f t="shared" si="45"/>
        <v>16</v>
      </c>
      <c r="C47" s="7" t="s">
        <v>26</v>
      </c>
      <c r="D47" s="8">
        <v>3199</v>
      </c>
      <c r="E47" s="8"/>
      <c r="F47" s="30"/>
      <c r="G47" s="11"/>
      <c r="H47" s="31">
        <f t="shared" si="38"/>
        <v>0</v>
      </c>
      <c r="I47" s="11"/>
      <c r="J47" s="11">
        <v>0</v>
      </c>
      <c r="K47" s="31">
        <f t="shared" si="39"/>
        <v>0</v>
      </c>
      <c r="L47" s="31"/>
      <c r="M47" s="10"/>
      <c r="N47" s="31">
        <f t="shared" si="40"/>
        <v>0</v>
      </c>
      <c r="O47" s="8">
        <v>0</v>
      </c>
      <c r="P47" s="11"/>
      <c r="Q47" s="31">
        <f t="shared" si="41"/>
        <v>0</v>
      </c>
      <c r="R47" s="34">
        <v>0</v>
      </c>
      <c r="S47" s="31"/>
      <c r="T47" s="31">
        <f t="shared" si="42"/>
        <v>0</v>
      </c>
      <c r="U47" s="34"/>
      <c r="V47" s="31"/>
      <c r="W47" s="31">
        <f t="shared" si="43"/>
        <v>0</v>
      </c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13">
        <f t="shared" si="36"/>
        <v>0</v>
      </c>
      <c r="AQ47" s="13">
        <f t="shared" si="37"/>
        <v>0</v>
      </c>
      <c r="AR47" s="31">
        <f t="shared" si="44"/>
        <v>0</v>
      </c>
    </row>
    <row r="48" spans="2:44" ht="15" hidden="1" customHeight="1" x14ac:dyDescent="0.25">
      <c r="B48" s="15">
        <v>17</v>
      </c>
      <c r="C48" s="7" t="s">
        <v>47</v>
      </c>
      <c r="D48" s="8"/>
      <c r="E48" s="8"/>
      <c r="F48" s="30"/>
      <c r="G48" s="11"/>
      <c r="H48" s="31">
        <f t="shared" si="38"/>
        <v>0</v>
      </c>
      <c r="I48" s="11"/>
      <c r="J48" s="11"/>
      <c r="K48" s="31">
        <f t="shared" si="39"/>
        <v>0</v>
      </c>
      <c r="L48" s="31"/>
      <c r="M48" s="10"/>
      <c r="N48" s="31">
        <f t="shared" si="40"/>
        <v>0</v>
      </c>
      <c r="O48" s="8"/>
      <c r="P48" s="11"/>
      <c r="Q48" s="31">
        <f t="shared" si="41"/>
        <v>0</v>
      </c>
      <c r="R48" s="34"/>
      <c r="S48" s="31"/>
      <c r="T48" s="31">
        <f t="shared" si="42"/>
        <v>0</v>
      </c>
      <c r="U48" s="34"/>
      <c r="V48" s="31"/>
      <c r="W48" s="31">
        <f t="shared" si="43"/>
        <v>0</v>
      </c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13">
        <f t="shared" si="36"/>
        <v>0</v>
      </c>
      <c r="AQ48" s="13">
        <f t="shared" si="37"/>
        <v>0</v>
      </c>
      <c r="AR48" s="31">
        <f t="shared" si="44"/>
        <v>0</v>
      </c>
    </row>
    <row r="49" spans="2:44" ht="15" hidden="1" customHeight="1" x14ac:dyDescent="0.25">
      <c r="B49" s="15">
        <f t="shared" ref="B49" si="46">B48+1</f>
        <v>18</v>
      </c>
      <c r="C49" s="7" t="s">
        <v>27</v>
      </c>
      <c r="D49" s="8"/>
      <c r="E49" s="8"/>
      <c r="F49" s="30"/>
      <c r="G49" s="11">
        <v>1006</v>
      </c>
      <c r="H49" s="31">
        <f t="shared" si="38"/>
        <v>0</v>
      </c>
      <c r="I49" s="11"/>
      <c r="J49" s="11">
        <v>6719</v>
      </c>
      <c r="K49" s="31">
        <f t="shared" si="39"/>
        <v>0</v>
      </c>
      <c r="L49" s="31"/>
      <c r="M49" s="10">
        <v>3081</v>
      </c>
      <c r="N49" s="31">
        <f t="shared" si="40"/>
        <v>0</v>
      </c>
      <c r="O49" s="8">
        <v>0</v>
      </c>
      <c r="P49" s="11">
        <v>6440</v>
      </c>
      <c r="Q49" s="31">
        <f t="shared" si="41"/>
        <v>0</v>
      </c>
      <c r="R49" s="34">
        <v>0</v>
      </c>
      <c r="S49" s="31"/>
      <c r="T49" s="31">
        <f t="shared" si="42"/>
        <v>0</v>
      </c>
      <c r="U49" s="34"/>
      <c r="V49" s="31"/>
      <c r="W49" s="31">
        <f t="shared" si="43"/>
        <v>0</v>
      </c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13">
        <f t="shared" si="36"/>
        <v>0</v>
      </c>
      <c r="AQ49" s="13">
        <f t="shared" si="37"/>
        <v>17246</v>
      </c>
      <c r="AR49" s="31">
        <f t="shared" si="44"/>
        <v>0</v>
      </c>
    </row>
    <row r="50" spans="2:44" ht="15.75" hidden="1" customHeight="1" x14ac:dyDescent="0.25">
      <c r="B50" s="17"/>
      <c r="C50" s="18" t="s">
        <v>28</v>
      </c>
      <c r="D50" s="19">
        <f>SUM(D32:D47)</f>
        <v>639897</v>
      </c>
      <c r="E50" s="80">
        <f>SUM(E32:E49)</f>
        <v>0</v>
      </c>
      <c r="F50" s="20">
        <f t="shared" ref="F50:I50" si="47">SUM(F32:F48)</f>
        <v>49601</v>
      </c>
      <c r="G50" s="20">
        <f>SUM(G32:G48)</f>
        <v>45310</v>
      </c>
      <c r="H50" s="32">
        <f>G50/F50</f>
        <v>0.91348964738614136</v>
      </c>
      <c r="I50" s="20">
        <f t="shared" si="47"/>
        <v>45351</v>
      </c>
      <c r="J50" s="20">
        <f>SUM(J32:J48)</f>
        <v>41571</v>
      </c>
      <c r="K50" s="32">
        <f>J50/I50</f>
        <v>0.91665012899384801</v>
      </c>
      <c r="L50" s="20">
        <f t="shared" ref="L50" si="48">SUM(L32:L48)</f>
        <v>38068</v>
      </c>
      <c r="M50" s="20">
        <f>SUM(M32:M48)</f>
        <v>34475</v>
      </c>
      <c r="N50" s="32">
        <f>M50/L50</f>
        <v>0.90561626562992537</v>
      </c>
      <c r="O50" s="20">
        <f t="shared" ref="O50" si="49">SUM(O32:O48)</f>
        <v>28196</v>
      </c>
      <c r="P50" s="20">
        <f>SUM(P32:P48)</f>
        <v>25912</v>
      </c>
      <c r="Q50" s="32">
        <f>P50/O50</f>
        <v>0.91899560221307985</v>
      </c>
      <c r="R50" s="20">
        <f t="shared" ref="R50" si="50">SUM(R32:R48)</f>
        <v>26173</v>
      </c>
      <c r="S50" s="20">
        <f>SUM(S32:S48)</f>
        <v>0</v>
      </c>
      <c r="T50" s="32">
        <f>S50/R50</f>
        <v>0</v>
      </c>
      <c r="U50" s="20"/>
      <c r="V50" s="20">
        <f>SUM(V32:V48)</f>
        <v>0</v>
      </c>
      <c r="W50" s="32" t="e">
        <f>V50/U50</f>
        <v>#DIV/0!</v>
      </c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20">
        <f>SUM(AP32:AP47)</f>
        <v>187389</v>
      </c>
      <c r="AQ50" s="20">
        <f>SUM(AQ32:AQ47)</f>
        <v>147268</v>
      </c>
      <c r="AR50" s="32">
        <f>AQ50/AP50</f>
        <v>0.78589458292642578</v>
      </c>
    </row>
    <row r="51" spans="2:44" ht="15.75" hidden="1" customHeight="1" x14ac:dyDescent="0.25">
      <c r="B51" s="17"/>
      <c r="C51" s="21" t="s">
        <v>29</v>
      </c>
      <c r="D51" s="19"/>
      <c r="E51" s="80"/>
      <c r="F51" s="20">
        <f>SUM(F32:F49)</f>
        <v>49601</v>
      </c>
      <c r="G51" s="20">
        <f>SUM(G32:G49)</f>
        <v>46316</v>
      </c>
      <c r="H51" s="32">
        <f>G51/F51</f>
        <v>0.93377149654240843</v>
      </c>
      <c r="I51" s="20">
        <f>SUM(I32:I49)</f>
        <v>45351</v>
      </c>
      <c r="J51" s="20">
        <f>SUM(J32:J49)</f>
        <v>48290</v>
      </c>
      <c r="K51" s="32">
        <f>J51/I51</f>
        <v>1.0648056272188045</v>
      </c>
      <c r="L51" s="20">
        <f>SUM(L32:L49)</f>
        <v>38068</v>
      </c>
      <c r="M51" s="20">
        <f>SUM(M32:M49)</f>
        <v>37556</v>
      </c>
      <c r="N51" s="32">
        <f>M51/L51</f>
        <v>0.98655038352421986</v>
      </c>
      <c r="O51" s="20">
        <f>SUM(O32:O49)</f>
        <v>28196</v>
      </c>
      <c r="P51" s="20">
        <f>SUM(P32:P49)</f>
        <v>32352</v>
      </c>
      <c r="Q51" s="32">
        <f>P51/O51</f>
        <v>1.1473967938714711</v>
      </c>
      <c r="R51" s="20">
        <f>SUM(R32:R49)</f>
        <v>26173</v>
      </c>
      <c r="S51" s="20">
        <f>SUM(S32:S49)</f>
        <v>0</v>
      </c>
      <c r="T51" s="32">
        <f>S51/R51</f>
        <v>0</v>
      </c>
      <c r="U51" s="20">
        <f>SUM(U32:U49)</f>
        <v>0</v>
      </c>
      <c r="V51" s="20">
        <f>SUM(V32:V49)</f>
        <v>0</v>
      </c>
      <c r="W51" s="32" t="e">
        <f>V51/U51</f>
        <v>#DIV/0!</v>
      </c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20">
        <f>SUM(AP32:AP49)</f>
        <v>187389</v>
      </c>
      <c r="AQ51" s="20">
        <f>SUM(AQ32:AQ49)</f>
        <v>164514</v>
      </c>
      <c r="AR51" s="32">
        <f>AQ51/AP51</f>
        <v>0.87792773321806505</v>
      </c>
    </row>
    <row r="52" spans="2:44" ht="15" hidden="1" customHeight="1" x14ac:dyDescent="0.25">
      <c r="B52" s="23"/>
      <c r="C52" s="7" t="s">
        <v>30</v>
      </c>
      <c r="D52" s="7"/>
      <c r="E52" s="7"/>
      <c r="F52" s="7">
        <v>21</v>
      </c>
      <c r="G52" s="7">
        <v>21</v>
      </c>
      <c r="H52" s="7"/>
      <c r="I52" s="7">
        <v>17</v>
      </c>
      <c r="J52" s="7">
        <v>17</v>
      </c>
      <c r="K52" s="7"/>
      <c r="L52" s="7">
        <v>18</v>
      </c>
      <c r="M52" s="7">
        <v>18</v>
      </c>
      <c r="N52" s="7"/>
      <c r="O52" s="7">
        <v>14</v>
      </c>
      <c r="P52" s="7">
        <v>14</v>
      </c>
      <c r="Q52" s="7"/>
      <c r="R52" s="7">
        <v>14</v>
      </c>
      <c r="S52" s="7">
        <v>14</v>
      </c>
      <c r="T52" s="7"/>
      <c r="U52" s="7">
        <v>14</v>
      </c>
      <c r="V52" s="7">
        <v>14</v>
      </c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13"/>
      <c r="AQ52" s="13"/>
      <c r="AR52" s="23"/>
    </row>
    <row r="53" spans="2:44" ht="15" hidden="1" customHeight="1" x14ac:dyDescent="0.25">
      <c r="B53" s="23"/>
      <c r="C53" s="25" t="s">
        <v>31</v>
      </c>
      <c r="D53" s="7"/>
      <c r="E53" s="8"/>
      <c r="F53" s="8">
        <f t="shared" ref="F53:G53" si="51">F50/F52</f>
        <v>2361.9523809523807</v>
      </c>
      <c r="G53" s="8">
        <f t="shared" si="51"/>
        <v>2157.6190476190477</v>
      </c>
      <c r="H53" s="8"/>
      <c r="I53" s="8">
        <f t="shared" ref="I53:J53" si="52">I50/I52</f>
        <v>2667.705882352941</v>
      </c>
      <c r="J53" s="8">
        <f t="shared" si="52"/>
        <v>2445.3529411764707</v>
      </c>
      <c r="K53" s="8"/>
      <c r="L53" s="8">
        <f t="shared" ref="L53:S53" si="53">L50/L52</f>
        <v>2114.8888888888887</v>
      </c>
      <c r="M53" s="8">
        <f t="shared" si="53"/>
        <v>1915.2777777777778</v>
      </c>
      <c r="N53" s="8"/>
      <c r="O53" s="8">
        <f t="shared" si="53"/>
        <v>2014</v>
      </c>
      <c r="P53" s="8">
        <f t="shared" si="53"/>
        <v>1850.8571428571429</v>
      </c>
      <c r="Q53" s="8"/>
      <c r="R53" s="8">
        <f t="shared" si="53"/>
        <v>1869.5</v>
      </c>
      <c r="S53" s="8">
        <f t="shared" si="53"/>
        <v>0</v>
      </c>
      <c r="T53" s="8"/>
      <c r="U53" s="8">
        <f t="shared" ref="U53:V53" si="54">U50/U52</f>
        <v>0</v>
      </c>
      <c r="V53" s="8">
        <f t="shared" si="54"/>
        <v>0</v>
      </c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13"/>
      <c r="AQ53" s="13"/>
      <c r="AR53" s="23"/>
    </row>
    <row r="54" spans="2:44" ht="15" hidden="1" customHeight="1" x14ac:dyDescent="0.25"/>
    <row r="55" spans="2:44" ht="15" hidden="1" customHeight="1" x14ac:dyDescent="0.25"/>
  </sheetData>
  <mergeCells count="32">
    <mergeCell ref="AP3:AR3"/>
    <mergeCell ref="E23:E24"/>
    <mergeCell ref="L30:N30"/>
    <mergeCell ref="O30:Q30"/>
    <mergeCell ref="O3:Q3"/>
    <mergeCell ref="R3:T3"/>
    <mergeCell ref="AP30:AR30"/>
    <mergeCell ref="AD30:AF30"/>
    <mergeCell ref="AG30:AI30"/>
    <mergeCell ref="AM3:AO3"/>
    <mergeCell ref="U3:W3"/>
    <mergeCell ref="X3:Z3"/>
    <mergeCell ref="AA3:AC3"/>
    <mergeCell ref="AD3:AF3"/>
    <mergeCell ref="L3:N3"/>
    <mergeCell ref="AJ3:AL3"/>
    <mergeCell ref="E50:E51"/>
    <mergeCell ref="R30:T30"/>
    <mergeCell ref="U30:W30"/>
    <mergeCell ref="X30:Z30"/>
    <mergeCell ref="AA30:AC30"/>
    <mergeCell ref="B30:B31"/>
    <mergeCell ref="C30:C31"/>
    <mergeCell ref="E30:E31"/>
    <mergeCell ref="F30:H30"/>
    <mergeCell ref="I30:K30"/>
    <mergeCell ref="AG3:AI3"/>
    <mergeCell ref="B3:B4"/>
    <mergeCell ref="C3:C4"/>
    <mergeCell ref="E3:E4"/>
    <mergeCell ref="F3:H3"/>
    <mergeCell ref="I3:K3"/>
  </mergeCells>
  <hyperlinks>
    <hyperlink ref="C26" r:id="rId1" display="RATA@" xr:uid="{D399744A-A300-458F-9C12-072D72ADAD2D}"/>
    <hyperlink ref="C53" r:id="rId2" xr:uid="{B47E8072-864B-4C16-B247-2A673C8EF0C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26"/>
  <sheetViews>
    <sheetView zoomScale="85" zoomScaleNormal="85" workbookViewId="0">
      <selection activeCell="H25" sqref="H25"/>
    </sheetView>
  </sheetViews>
  <sheetFormatPr defaultRowHeight="15" x14ac:dyDescent="0.25"/>
  <cols>
    <col min="3" max="3" width="37.140625" bestFit="1" customWidth="1"/>
    <col min="4" max="4" width="9.85546875" bestFit="1" customWidth="1"/>
    <col min="5" max="6" width="10.7109375" bestFit="1" customWidth="1"/>
    <col min="7" max="9" width="9.5703125" bestFit="1" customWidth="1"/>
    <col min="10" max="15" width="9.5703125" customWidth="1"/>
    <col min="16" max="16" width="10.5703125" bestFit="1" customWidth="1"/>
    <col min="17" max="17" width="9.5703125" bestFit="1" customWidth="1"/>
    <col min="19" max="19" width="9.5703125" bestFit="1" customWidth="1"/>
  </cols>
  <sheetData>
    <row r="2" spans="2:16" x14ac:dyDescent="0.25">
      <c r="C2" t="s">
        <v>73</v>
      </c>
    </row>
    <row r="3" spans="2:16" ht="15.75" x14ac:dyDescent="0.25">
      <c r="B3" s="36" t="s">
        <v>0</v>
      </c>
      <c r="C3" s="37" t="s">
        <v>1</v>
      </c>
      <c r="D3" s="38" t="s">
        <v>43</v>
      </c>
      <c r="E3" s="38" t="s">
        <v>44</v>
      </c>
      <c r="F3" s="38" t="s">
        <v>45</v>
      </c>
      <c r="G3" s="38" t="s">
        <v>49</v>
      </c>
      <c r="H3" s="38" t="s">
        <v>50</v>
      </c>
      <c r="I3" s="38" t="s">
        <v>51</v>
      </c>
      <c r="J3" s="38" t="s">
        <v>58</v>
      </c>
      <c r="K3" s="38" t="s">
        <v>60</v>
      </c>
      <c r="L3" s="38" t="s">
        <v>62</v>
      </c>
      <c r="M3" s="38" t="s">
        <v>65</v>
      </c>
      <c r="N3" s="38" t="s">
        <v>70</v>
      </c>
      <c r="O3" s="38" t="s">
        <v>71</v>
      </c>
      <c r="P3" s="38" t="s">
        <v>8</v>
      </c>
    </row>
    <row r="4" spans="2:16" x14ac:dyDescent="0.25">
      <c r="B4" s="6">
        <v>1</v>
      </c>
      <c r="C4" s="7" t="s">
        <v>11</v>
      </c>
      <c r="D4" s="9">
        <v>5450</v>
      </c>
      <c r="E4" s="9">
        <v>5475</v>
      </c>
      <c r="F4" s="9">
        <v>5407.5</v>
      </c>
      <c r="G4" s="35">
        <v>2720</v>
      </c>
      <c r="H4" s="9">
        <v>4070</v>
      </c>
      <c r="I4" s="9"/>
      <c r="J4" s="9"/>
      <c r="K4" s="9"/>
      <c r="L4" s="9"/>
      <c r="M4" s="9"/>
      <c r="N4" s="9"/>
      <c r="O4" s="9"/>
      <c r="P4" s="9">
        <f>SUM(D4:O4)</f>
        <v>23122.5</v>
      </c>
    </row>
    <row r="5" spans="2:16" x14ac:dyDescent="0.25">
      <c r="B5" s="6">
        <f>B4+1</f>
        <v>2</v>
      </c>
      <c r="C5" s="7" t="s">
        <v>12</v>
      </c>
      <c r="D5" s="9">
        <v>4116</v>
      </c>
      <c r="E5" s="9">
        <v>2772</v>
      </c>
      <c r="F5" s="9">
        <v>3318</v>
      </c>
      <c r="G5" s="35">
        <v>3264</v>
      </c>
      <c r="H5" s="9">
        <v>5800.5</v>
      </c>
      <c r="I5" s="9"/>
      <c r="J5" s="9"/>
      <c r="K5" s="9"/>
      <c r="L5" s="9"/>
      <c r="M5" s="9"/>
      <c r="N5" s="9"/>
      <c r="O5" s="9"/>
      <c r="P5" s="9">
        <f t="shared" ref="P5:P21" si="0">SUM(D5:O5)</f>
        <v>19270.5</v>
      </c>
    </row>
    <row r="6" spans="2:16" x14ac:dyDescent="0.25">
      <c r="B6" s="6">
        <f t="shared" ref="B6:B21" si="1">B5+1</f>
        <v>3</v>
      </c>
      <c r="C6" s="7" t="s">
        <v>13</v>
      </c>
      <c r="D6" s="9">
        <v>1560</v>
      </c>
      <c r="E6" s="9">
        <v>1831.8</v>
      </c>
      <c r="F6" s="9">
        <v>2390.4</v>
      </c>
      <c r="G6" s="35">
        <v>3792</v>
      </c>
      <c r="H6" s="9">
        <v>1144.8</v>
      </c>
      <c r="I6" s="9"/>
      <c r="J6" s="9"/>
      <c r="K6" s="9"/>
      <c r="L6" s="9"/>
      <c r="M6" s="9"/>
      <c r="N6" s="9"/>
      <c r="O6" s="9"/>
      <c r="P6" s="9">
        <f t="shared" si="0"/>
        <v>10719</v>
      </c>
    </row>
    <row r="7" spans="2:16" x14ac:dyDescent="0.25">
      <c r="B7" s="15">
        <f t="shared" si="1"/>
        <v>4</v>
      </c>
      <c r="C7" s="7" t="s">
        <v>14</v>
      </c>
      <c r="D7" s="9">
        <v>0</v>
      </c>
      <c r="E7" s="9">
        <v>2251.5</v>
      </c>
      <c r="F7" s="9">
        <v>5936.25</v>
      </c>
      <c r="G7" s="35">
        <v>3745.5</v>
      </c>
      <c r="H7" s="9">
        <v>207</v>
      </c>
      <c r="I7" s="9"/>
      <c r="J7" s="9"/>
      <c r="K7" s="9"/>
      <c r="L7" s="9"/>
      <c r="M7" s="9"/>
      <c r="N7" s="9"/>
      <c r="O7" s="9"/>
      <c r="P7" s="9">
        <f t="shared" si="0"/>
        <v>12140.25</v>
      </c>
    </row>
    <row r="8" spans="2:16" x14ac:dyDescent="0.25">
      <c r="B8" s="15">
        <f t="shared" si="1"/>
        <v>5</v>
      </c>
      <c r="C8" s="7" t="s">
        <v>15</v>
      </c>
      <c r="D8" s="9">
        <v>2589</v>
      </c>
      <c r="E8" s="9">
        <v>1863</v>
      </c>
      <c r="F8" s="9">
        <v>3493.5</v>
      </c>
      <c r="G8" s="35">
        <v>975</v>
      </c>
      <c r="H8" s="9">
        <v>1831.5</v>
      </c>
      <c r="I8" s="9"/>
      <c r="J8" s="9"/>
      <c r="K8" s="9"/>
      <c r="L8" s="9"/>
      <c r="M8" s="9"/>
      <c r="N8" s="9"/>
      <c r="O8" s="9"/>
      <c r="P8" s="9">
        <f t="shared" si="0"/>
        <v>10752</v>
      </c>
    </row>
    <row r="9" spans="2:16" x14ac:dyDescent="0.25">
      <c r="B9" s="15">
        <f t="shared" si="1"/>
        <v>6</v>
      </c>
      <c r="C9" s="7" t="s">
        <v>16</v>
      </c>
      <c r="D9" s="9">
        <v>14069</v>
      </c>
      <c r="E9" s="9">
        <v>8566</v>
      </c>
      <c r="F9" s="9">
        <v>12244</v>
      </c>
      <c r="G9" s="35">
        <v>8187</v>
      </c>
      <c r="H9" s="9">
        <v>4422</v>
      </c>
      <c r="I9" s="9"/>
      <c r="J9" s="9"/>
      <c r="K9" s="9"/>
      <c r="L9" s="9"/>
      <c r="M9" s="9"/>
      <c r="N9" s="9"/>
      <c r="O9" s="9"/>
      <c r="P9" s="9">
        <f t="shared" si="0"/>
        <v>47488</v>
      </c>
    </row>
    <row r="10" spans="2:16" x14ac:dyDescent="0.25">
      <c r="B10" s="15">
        <f t="shared" si="1"/>
        <v>7</v>
      </c>
      <c r="C10" s="7" t="s">
        <v>17</v>
      </c>
      <c r="D10" s="9">
        <v>3321</v>
      </c>
      <c r="E10" s="9">
        <v>1734</v>
      </c>
      <c r="F10" s="9">
        <v>1129.5</v>
      </c>
      <c r="G10" s="35">
        <v>1350</v>
      </c>
      <c r="H10" s="9">
        <v>1935</v>
      </c>
      <c r="I10" s="9"/>
      <c r="J10" s="9"/>
      <c r="K10" s="9"/>
      <c r="L10" s="9"/>
      <c r="M10" s="9"/>
      <c r="N10" s="9"/>
      <c r="O10" s="9"/>
      <c r="P10" s="9">
        <f t="shared" si="0"/>
        <v>9469.5</v>
      </c>
    </row>
    <row r="11" spans="2:16" x14ac:dyDescent="0.25">
      <c r="B11" s="15">
        <f t="shared" si="1"/>
        <v>8</v>
      </c>
      <c r="C11" s="7" t="s">
        <v>18</v>
      </c>
      <c r="D11" s="9">
        <v>0</v>
      </c>
      <c r="E11" s="9">
        <v>0</v>
      </c>
      <c r="F11" s="9">
        <v>0</v>
      </c>
      <c r="G11" s="35">
        <v>0</v>
      </c>
      <c r="H11" s="9">
        <v>0</v>
      </c>
      <c r="I11" s="9"/>
      <c r="J11" s="9"/>
      <c r="K11" s="9"/>
      <c r="L11" s="9"/>
      <c r="M11" s="9"/>
      <c r="N11" s="9"/>
      <c r="O11" s="9"/>
      <c r="P11" s="9">
        <f t="shared" si="0"/>
        <v>0</v>
      </c>
    </row>
    <row r="12" spans="2:16" x14ac:dyDescent="0.25">
      <c r="B12" s="15">
        <f t="shared" si="1"/>
        <v>9</v>
      </c>
      <c r="C12" s="7" t="s">
        <v>19</v>
      </c>
      <c r="D12" s="9">
        <v>0</v>
      </c>
      <c r="E12" s="9">
        <v>0</v>
      </c>
      <c r="F12" s="9">
        <v>15</v>
      </c>
      <c r="G12" s="35">
        <v>0</v>
      </c>
      <c r="H12" s="9">
        <v>0</v>
      </c>
      <c r="I12" s="9"/>
      <c r="J12" s="9"/>
      <c r="K12" s="9"/>
      <c r="L12" s="9"/>
      <c r="M12" s="9"/>
      <c r="N12" s="9"/>
      <c r="O12" s="9"/>
      <c r="P12" s="9">
        <f t="shared" si="0"/>
        <v>15</v>
      </c>
    </row>
    <row r="13" spans="2:16" x14ac:dyDescent="0.25">
      <c r="B13" s="15">
        <f t="shared" si="1"/>
        <v>10</v>
      </c>
      <c r="C13" s="7" t="s">
        <v>20</v>
      </c>
      <c r="D13" s="9">
        <v>2937</v>
      </c>
      <c r="E13" s="9">
        <v>5077.5</v>
      </c>
      <c r="F13" s="9">
        <v>2517</v>
      </c>
      <c r="G13" s="35">
        <v>2079</v>
      </c>
      <c r="H13" s="9">
        <v>1998</v>
      </c>
      <c r="I13" s="9"/>
      <c r="J13" s="9"/>
      <c r="K13" s="9"/>
      <c r="L13" s="9"/>
      <c r="M13" s="9"/>
      <c r="N13" s="9"/>
      <c r="O13" s="9"/>
      <c r="P13" s="9">
        <f t="shared" si="0"/>
        <v>14608.5</v>
      </c>
    </row>
    <row r="14" spans="2:16" x14ac:dyDescent="0.25">
      <c r="B14" s="15">
        <f t="shared" si="1"/>
        <v>11</v>
      </c>
      <c r="C14" s="7" t="s">
        <v>21</v>
      </c>
      <c r="D14" s="9">
        <v>1350</v>
      </c>
      <c r="E14" s="9">
        <v>2121</v>
      </c>
      <c r="F14" s="9">
        <v>1722</v>
      </c>
      <c r="G14" s="35">
        <v>2508</v>
      </c>
      <c r="H14" s="9">
        <v>2974.5</v>
      </c>
      <c r="I14" s="9"/>
      <c r="J14" s="9"/>
      <c r="K14" s="9"/>
      <c r="L14" s="9"/>
      <c r="M14" s="9"/>
      <c r="N14" s="9"/>
      <c r="O14" s="9"/>
      <c r="P14" s="9">
        <f t="shared" si="0"/>
        <v>10675.5</v>
      </c>
    </row>
    <row r="15" spans="2:16" x14ac:dyDescent="0.25">
      <c r="B15" s="15">
        <f t="shared" si="1"/>
        <v>12</v>
      </c>
      <c r="C15" s="7" t="s">
        <v>22</v>
      </c>
      <c r="D15" s="9">
        <v>266</v>
      </c>
      <c r="E15" s="9">
        <v>122</v>
      </c>
      <c r="F15" s="9">
        <v>697</v>
      </c>
      <c r="G15" s="35">
        <v>395</v>
      </c>
      <c r="H15" s="9">
        <v>657</v>
      </c>
      <c r="I15" s="9"/>
      <c r="J15" s="9"/>
      <c r="K15" s="9"/>
      <c r="L15" s="9"/>
      <c r="M15" s="9"/>
      <c r="N15" s="9"/>
      <c r="O15" s="9"/>
      <c r="P15" s="9">
        <f t="shared" si="0"/>
        <v>2137</v>
      </c>
    </row>
    <row r="16" spans="2:16" x14ac:dyDescent="0.25">
      <c r="B16" s="15">
        <f t="shared" si="1"/>
        <v>13</v>
      </c>
      <c r="C16" s="7" t="s">
        <v>23</v>
      </c>
      <c r="D16" s="9">
        <v>800</v>
      </c>
      <c r="E16" s="9">
        <v>1327</v>
      </c>
      <c r="F16" s="9">
        <v>32</v>
      </c>
      <c r="G16" s="35">
        <v>0</v>
      </c>
      <c r="H16" s="9">
        <v>97.5</v>
      </c>
      <c r="I16" s="9"/>
      <c r="J16" s="9"/>
      <c r="K16" s="9"/>
      <c r="L16" s="9"/>
      <c r="M16" s="9"/>
      <c r="N16" s="9"/>
      <c r="O16" s="9"/>
      <c r="P16" s="9">
        <f t="shared" si="0"/>
        <v>2256.5</v>
      </c>
    </row>
    <row r="17" spans="2:19" x14ac:dyDescent="0.25">
      <c r="B17" s="15">
        <f t="shared" si="1"/>
        <v>14</v>
      </c>
      <c r="C17" s="7" t="s">
        <v>24</v>
      </c>
      <c r="D17" s="9">
        <v>2880</v>
      </c>
      <c r="E17" s="9"/>
      <c r="F17" s="9">
        <v>275</v>
      </c>
      <c r="G17" s="35">
        <v>1820</v>
      </c>
      <c r="H17" s="9">
        <v>3160</v>
      </c>
      <c r="I17" s="9"/>
      <c r="J17" s="9"/>
      <c r="K17" s="9"/>
      <c r="L17" s="9"/>
      <c r="M17" s="9"/>
      <c r="N17" s="9"/>
      <c r="O17" s="9"/>
      <c r="P17" s="9">
        <f t="shared" si="0"/>
        <v>8135</v>
      </c>
    </row>
    <row r="18" spans="2:19" x14ac:dyDescent="0.25">
      <c r="B18" s="15">
        <f t="shared" si="1"/>
        <v>15</v>
      </c>
      <c r="C18" s="7" t="s">
        <v>25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>
        <f t="shared" si="0"/>
        <v>0</v>
      </c>
    </row>
    <row r="19" spans="2:19" x14ac:dyDescent="0.25">
      <c r="B19" s="15">
        <f t="shared" si="1"/>
        <v>16</v>
      </c>
      <c r="C19" s="7" t="s">
        <v>26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>
        <f t="shared" si="0"/>
        <v>0</v>
      </c>
    </row>
    <row r="20" spans="2:19" x14ac:dyDescent="0.25">
      <c r="B20" s="15">
        <f t="shared" si="1"/>
        <v>17</v>
      </c>
      <c r="C20" s="7" t="s">
        <v>47</v>
      </c>
      <c r="D20" s="9"/>
      <c r="E20" s="9">
        <v>293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>
        <f t="shared" si="0"/>
        <v>293</v>
      </c>
    </row>
    <row r="21" spans="2:19" x14ac:dyDescent="0.25">
      <c r="B21" s="15">
        <f t="shared" si="1"/>
        <v>18</v>
      </c>
      <c r="C21" s="7" t="s">
        <v>27</v>
      </c>
      <c r="D21" s="9">
        <v>486</v>
      </c>
      <c r="E21" s="9">
        <v>8209</v>
      </c>
      <c r="F21" s="9">
        <v>313</v>
      </c>
      <c r="G21" s="9"/>
      <c r="H21" s="9">
        <v>5555</v>
      </c>
      <c r="I21" s="9"/>
      <c r="J21" s="9"/>
      <c r="K21" s="9"/>
      <c r="L21" s="9"/>
      <c r="M21" s="9"/>
      <c r="N21" s="9"/>
      <c r="O21" s="9"/>
      <c r="P21" s="9">
        <f t="shared" si="0"/>
        <v>14563</v>
      </c>
    </row>
    <row r="22" spans="2:19" ht="15.75" x14ac:dyDescent="0.25">
      <c r="C22" s="18" t="s">
        <v>28</v>
      </c>
      <c r="D22" s="20">
        <f t="shared" ref="D22:G22" si="2">SUM(D4:D20)</f>
        <v>39338</v>
      </c>
      <c r="E22" s="20">
        <f t="shared" si="2"/>
        <v>33433.800000000003</v>
      </c>
      <c r="F22" s="20">
        <f t="shared" si="2"/>
        <v>39177.15</v>
      </c>
      <c r="G22" s="20">
        <f t="shared" si="2"/>
        <v>30835.5</v>
      </c>
      <c r="H22" s="20">
        <f t="shared" ref="H22:P22" si="3">SUM(H4:H20)</f>
        <v>28297.8</v>
      </c>
      <c r="I22" s="20">
        <f t="shared" si="3"/>
        <v>0</v>
      </c>
      <c r="J22" s="20">
        <f t="shared" si="3"/>
        <v>0</v>
      </c>
      <c r="K22" s="20">
        <f t="shared" si="3"/>
        <v>0</v>
      </c>
      <c r="L22" s="20">
        <f t="shared" si="3"/>
        <v>0</v>
      </c>
      <c r="M22" s="20">
        <f t="shared" ref="M22:O22" si="4">SUM(M4:M20)</f>
        <v>0</v>
      </c>
      <c r="N22" s="20">
        <f t="shared" si="4"/>
        <v>0</v>
      </c>
      <c r="O22" s="20">
        <f t="shared" si="4"/>
        <v>0</v>
      </c>
      <c r="P22" s="20">
        <f t="shared" si="3"/>
        <v>171082.25</v>
      </c>
    </row>
    <row r="23" spans="2:19" ht="15.75" x14ac:dyDescent="0.25">
      <c r="C23" s="21" t="s">
        <v>29</v>
      </c>
      <c r="D23" s="20">
        <f t="shared" ref="D23:G23" si="5">SUM(D4:D21)</f>
        <v>39824</v>
      </c>
      <c r="E23" s="20">
        <f t="shared" si="5"/>
        <v>41642.800000000003</v>
      </c>
      <c r="F23" s="20">
        <f t="shared" si="5"/>
        <v>39490.15</v>
      </c>
      <c r="G23" s="20">
        <f t="shared" si="5"/>
        <v>30835.5</v>
      </c>
      <c r="H23" s="20">
        <f t="shared" ref="H23" si="6">SUM(H4:H21)</f>
        <v>33852.800000000003</v>
      </c>
      <c r="I23" s="20">
        <f t="shared" ref="I23:P23" si="7">SUM(I4:I21)</f>
        <v>0</v>
      </c>
      <c r="J23" s="20">
        <f t="shared" ref="J23:K23" si="8">SUM(J4:J21)</f>
        <v>0</v>
      </c>
      <c r="K23" s="20">
        <f t="shared" si="8"/>
        <v>0</v>
      </c>
      <c r="L23" s="20">
        <f t="shared" ref="L23:M23" si="9">SUM(L4:L21)</f>
        <v>0</v>
      </c>
      <c r="M23" s="20">
        <f t="shared" si="9"/>
        <v>0</v>
      </c>
      <c r="N23" s="20">
        <f t="shared" ref="N23:O23" si="10">SUM(N4:N21)</f>
        <v>0</v>
      </c>
      <c r="O23" s="20">
        <f t="shared" si="10"/>
        <v>0</v>
      </c>
      <c r="P23" s="20">
        <f t="shared" si="7"/>
        <v>185645.25</v>
      </c>
    </row>
    <row r="24" spans="2:19" x14ac:dyDescent="0.25">
      <c r="C24" s="7" t="s">
        <v>30</v>
      </c>
      <c r="D24" s="7">
        <v>13</v>
      </c>
      <c r="E24" s="23">
        <v>12</v>
      </c>
      <c r="F24" s="23">
        <v>13</v>
      </c>
      <c r="G24" s="23">
        <v>11</v>
      </c>
      <c r="H24" s="23">
        <v>11</v>
      </c>
      <c r="I24" s="23"/>
      <c r="J24" s="23"/>
      <c r="K24" s="23"/>
      <c r="L24" s="23"/>
      <c r="M24" s="23"/>
      <c r="N24" s="23"/>
      <c r="O24" s="23"/>
      <c r="P24" s="23">
        <f>SUM(D24:O24)</f>
        <v>60</v>
      </c>
    </row>
    <row r="25" spans="2:19" ht="15.75" x14ac:dyDescent="0.25">
      <c r="C25" s="18" t="s">
        <v>52</v>
      </c>
      <c r="D25" s="26">
        <f>D22/D24</f>
        <v>3026</v>
      </c>
      <c r="E25" s="26">
        <f t="shared" ref="E25:P25" si="11">E22/E24</f>
        <v>2786.15</v>
      </c>
      <c r="F25" s="26">
        <f t="shared" si="11"/>
        <v>3013.626923076923</v>
      </c>
      <c r="G25" s="26">
        <f t="shared" si="11"/>
        <v>2803.2272727272725</v>
      </c>
      <c r="H25" s="26">
        <f t="shared" si="11"/>
        <v>2572.5272727272727</v>
      </c>
      <c r="I25" s="26" t="e">
        <f t="shared" si="11"/>
        <v>#DIV/0!</v>
      </c>
      <c r="J25" s="26" t="e">
        <f t="shared" ref="J25:K25" si="12">J22/J24</f>
        <v>#DIV/0!</v>
      </c>
      <c r="K25" s="26" t="e">
        <f t="shared" si="12"/>
        <v>#DIV/0!</v>
      </c>
      <c r="L25" s="26" t="e">
        <f t="shared" ref="L25:M25" si="13">L22/L24</f>
        <v>#DIV/0!</v>
      </c>
      <c r="M25" s="26" t="e">
        <f t="shared" si="13"/>
        <v>#DIV/0!</v>
      </c>
      <c r="N25" s="26" t="e">
        <f t="shared" ref="N25:O25" si="14">N22/N24</f>
        <v>#DIV/0!</v>
      </c>
      <c r="O25" s="26" t="e">
        <f t="shared" si="14"/>
        <v>#DIV/0!</v>
      </c>
      <c r="P25" s="26">
        <f t="shared" si="11"/>
        <v>2851.3708333333334</v>
      </c>
      <c r="R25" s="28"/>
      <c r="S25" s="42"/>
    </row>
    <row r="26" spans="2:19" ht="15.75" x14ac:dyDescent="0.25">
      <c r="C26" s="21" t="s">
        <v>53</v>
      </c>
      <c r="D26" s="26">
        <f>D23/D24</f>
        <v>3063.3846153846152</v>
      </c>
      <c r="E26" s="26">
        <f t="shared" ref="E26:P26" si="15">E23/E24</f>
        <v>3470.2333333333336</v>
      </c>
      <c r="F26" s="26">
        <f t="shared" si="15"/>
        <v>3037.7038461538464</v>
      </c>
      <c r="G26" s="26">
        <f t="shared" si="15"/>
        <v>2803.2272727272725</v>
      </c>
      <c r="H26" s="26">
        <f t="shared" si="15"/>
        <v>3077.5272727272732</v>
      </c>
      <c r="I26" s="26" t="e">
        <f t="shared" si="15"/>
        <v>#DIV/0!</v>
      </c>
      <c r="J26" s="26" t="e">
        <f t="shared" ref="J26:K26" si="16">J23/J24</f>
        <v>#DIV/0!</v>
      </c>
      <c r="K26" s="26" t="e">
        <f t="shared" si="16"/>
        <v>#DIV/0!</v>
      </c>
      <c r="L26" s="26" t="e">
        <f t="shared" ref="L26:M26" si="17">L23/L24</f>
        <v>#DIV/0!</v>
      </c>
      <c r="M26" s="26" t="e">
        <f t="shared" si="17"/>
        <v>#DIV/0!</v>
      </c>
      <c r="N26" s="26" t="e">
        <f t="shared" ref="N26:O26" si="18">N23/N24</f>
        <v>#DIV/0!</v>
      </c>
      <c r="O26" s="26" t="e">
        <f t="shared" si="18"/>
        <v>#DIV/0!</v>
      </c>
      <c r="P26" s="26">
        <f t="shared" si="15"/>
        <v>3094.0875000000001</v>
      </c>
      <c r="R26" s="28"/>
      <c r="S26" s="42"/>
    </row>
  </sheetData>
  <phoneticPr fontId="1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D20"/>
  <sheetViews>
    <sheetView workbookViewId="0">
      <selection activeCell="G10" sqref="G10"/>
    </sheetView>
  </sheetViews>
  <sheetFormatPr defaultRowHeight="15" x14ac:dyDescent="0.25"/>
  <cols>
    <col min="3" max="3" width="25" bestFit="1" customWidth="1"/>
  </cols>
  <sheetData>
    <row r="3" spans="2:4" ht="15.75" x14ac:dyDescent="0.25">
      <c r="B3" s="2" t="s">
        <v>0</v>
      </c>
      <c r="C3" s="3" t="s">
        <v>1</v>
      </c>
      <c r="D3" s="3" t="s">
        <v>41</v>
      </c>
    </row>
    <row r="4" spans="2:4" x14ac:dyDescent="0.25">
      <c r="B4" s="6">
        <v>1</v>
      </c>
      <c r="C4" s="7" t="s">
        <v>11</v>
      </c>
      <c r="D4" s="23">
        <v>1.5</v>
      </c>
    </row>
    <row r="5" spans="2:4" x14ac:dyDescent="0.25">
      <c r="B5" s="6">
        <f>B4+1</f>
        <v>2</v>
      </c>
      <c r="C5" s="7" t="s">
        <v>12</v>
      </c>
      <c r="D5" s="23">
        <v>1.5</v>
      </c>
    </row>
    <row r="6" spans="2:4" x14ac:dyDescent="0.25">
      <c r="B6" s="6">
        <f t="shared" ref="B6:B20" si="0">B5+1</f>
        <v>3</v>
      </c>
      <c r="C6" s="7" t="s">
        <v>13</v>
      </c>
      <c r="D6" s="23">
        <v>0.6</v>
      </c>
    </row>
    <row r="7" spans="2:4" x14ac:dyDescent="0.25">
      <c r="B7" s="15">
        <f t="shared" si="0"/>
        <v>4</v>
      </c>
      <c r="C7" s="7" t="s">
        <v>14</v>
      </c>
      <c r="D7" s="23">
        <v>0.75</v>
      </c>
    </row>
    <row r="8" spans="2:4" x14ac:dyDescent="0.25">
      <c r="B8" s="15">
        <f t="shared" si="0"/>
        <v>5</v>
      </c>
      <c r="C8" s="7" t="s">
        <v>15</v>
      </c>
      <c r="D8" s="23">
        <v>1.5</v>
      </c>
    </row>
    <row r="9" spans="2:4" x14ac:dyDescent="0.25">
      <c r="B9" s="15">
        <f t="shared" si="0"/>
        <v>6</v>
      </c>
      <c r="C9" s="7" t="s">
        <v>16</v>
      </c>
      <c r="D9" s="23">
        <v>0.4</v>
      </c>
    </row>
    <row r="10" spans="2:4" x14ac:dyDescent="0.25">
      <c r="B10" s="15">
        <f t="shared" si="0"/>
        <v>7</v>
      </c>
      <c r="C10" s="7" t="s">
        <v>17</v>
      </c>
      <c r="D10" s="23">
        <v>1.5</v>
      </c>
    </row>
    <row r="11" spans="2:4" x14ac:dyDescent="0.25">
      <c r="B11" s="15">
        <f t="shared" si="0"/>
        <v>8</v>
      </c>
      <c r="C11" s="7" t="s">
        <v>18</v>
      </c>
      <c r="D11" s="23">
        <v>1.5</v>
      </c>
    </row>
    <row r="12" spans="2:4" x14ac:dyDescent="0.25">
      <c r="B12" s="15">
        <f t="shared" si="0"/>
        <v>9</v>
      </c>
      <c r="C12" s="7" t="s">
        <v>19</v>
      </c>
      <c r="D12" s="23">
        <v>1.5</v>
      </c>
    </row>
    <row r="13" spans="2:4" x14ac:dyDescent="0.25">
      <c r="B13" s="15">
        <f t="shared" si="0"/>
        <v>10</v>
      </c>
      <c r="C13" s="7" t="s">
        <v>20</v>
      </c>
      <c r="D13" s="23">
        <v>1.5</v>
      </c>
    </row>
    <row r="14" spans="2:4" x14ac:dyDescent="0.25">
      <c r="B14" s="15">
        <f t="shared" si="0"/>
        <v>11</v>
      </c>
      <c r="C14" s="7" t="s">
        <v>21</v>
      </c>
      <c r="D14" s="23">
        <v>1.5</v>
      </c>
    </row>
    <row r="15" spans="2:4" x14ac:dyDescent="0.25">
      <c r="B15" s="15">
        <f t="shared" si="0"/>
        <v>12</v>
      </c>
      <c r="C15" s="7" t="s">
        <v>22</v>
      </c>
      <c r="D15" s="23">
        <v>1.5</v>
      </c>
    </row>
    <row r="16" spans="2:4" x14ac:dyDescent="0.25">
      <c r="B16" s="15">
        <f t="shared" si="0"/>
        <v>13</v>
      </c>
      <c r="C16" s="7" t="s">
        <v>23</v>
      </c>
      <c r="D16" s="23">
        <v>30</v>
      </c>
    </row>
    <row r="17" spans="2:4" x14ac:dyDescent="0.25">
      <c r="B17" s="15">
        <f t="shared" si="0"/>
        <v>14</v>
      </c>
      <c r="C17" s="7" t="s">
        <v>42</v>
      </c>
      <c r="D17" s="23">
        <v>1</v>
      </c>
    </row>
    <row r="18" spans="2:4" x14ac:dyDescent="0.25">
      <c r="B18" s="15">
        <f t="shared" si="0"/>
        <v>15</v>
      </c>
      <c r="C18" s="7" t="s">
        <v>24</v>
      </c>
      <c r="D18" s="23">
        <v>4</v>
      </c>
    </row>
    <row r="19" spans="2:4" x14ac:dyDescent="0.25">
      <c r="B19" s="15">
        <f t="shared" si="0"/>
        <v>16</v>
      </c>
      <c r="C19" s="7" t="s">
        <v>25</v>
      </c>
      <c r="D19" s="23">
        <v>1.5</v>
      </c>
    </row>
    <row r="20" spans="2:4" x14ac:dyDescent="0.25">
      <c r="B20" s="15">
        <f t="shared" si="0"/>
        <v>17</v>
      </c>
      <c r="C20" s="7" t="s">
        <v>26</v>
      </c>
      <c r="D20" s="23">
        <v>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</vt:lpstr>
      <vt:lpstr>FEB</vt:lpstr>
      <vt:lpstr>MAR</vt:lpstr>
      <vt:lpstr>APR</vt:lpstr>
      <vt:lpstr>MEI</vt:lpstr>
      <vt:lpstr>SUMMARY</vt:lpstr>
      <vt:lpstr>RESUME EQV</vt:lpstr>
      <vt:lpstr>HASIL EQV</vt:lpstr>
      <vt:lpstr>EQV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Rizki</dc:creator>
  <cp:lastModifiedBy>MRP</cp:lastModifiedBy>
  <dcterms:created xsi:type="dcterms:W3CDTF">2024-02-12T02:30:08Z</dcterms:created>
  <dcterms:modified xsi:type="dcterms:W3CDTF">2025-06-13T07:07:56Z</dcterms:modified>
</cp:coreProperties>
</file>